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YLER\Desktop\"/>
    </mc:Choice>
  </mc:AlternateContent>
  <xr:revisionPtr revIDLastSave="0" documentId="8_{845CFF65-1DFB-4A9E-9EC6-A397CBDF5270}" xr6:coauthVersionLast="47" xr6:coauthVersionMax="47" xr10:uidLastSave="{00000000-0000-0000-0000-000000000000}"/>
  <bookViews>
    <workbookView xWindow="-120" yWindow="-120" windowWidth="20730" windowHeight="11160" xr2:uid="{7DC8C46F-7610-444F-B877-47E5AAFCFBC1}"/>
  </bookViews>
  <sheets>
    <sheet name="PTO" sheetId="1" r:id="rId1"/>
    <sheet name="CANT" sheetId="2" r:id="rId2"/>
    <sheet name="APU" sheetId="3" r:id="rId3"/>
    <sheet name="AIU " sheetId="4" r:id="rId4"/>
    <sheet name="CRONOGRAMA" sheetId="5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</externalReferences>
  <definedNames>
    <definedName name="_________VOL1" hidden="1">#REF!</definedName>
    <definedName name="________VOL1" hidden="1">#REF!</definedName>
    <definedName name="_______VOL1" hidden="1">#REF!</definedName>
    <definedName name="______VOL1" hidden="1">#REF!</definedName>
    <definedName name="_____PJ50">#REF!</definedName>
    <definedName name="_____pj51">#REF!</definedName>
    <definedName name="_____VOL1" hidden="1">#REF!</definedName>
    <definedName name="____PJ50">#REF!</definedName>
    <definedName name="____pj51">#REF!</definedName>
    <definedName name="____VOL1" hidden="1">#REF!</definedName>
    <definedName name="___EST12">#REF!</definedName>
    <definedName name="___PJ50">#REF!</definedName>
    <definedName name="___pj51">#REF!</definedName>
    <definedName name="___VOL1" hidden="1">#REF!</definedName>
    <definedName name="__123Graph_A" hidden="1">[1]A!#REF!</definedName>
    <definedName name="__123Graph_B" hidden="1">[1]A!#REF!</definedName>
    <definedName name="__123Graph_C" hidden="1">[1]A!#REF!</definedName>
    <definedName name="__123Graph_D" hidden="1">[1]A!#REF!</definedName>
    <definedName name="__123Graph_E" hidden="1">[1]A!#REF!</definedName>
    <definedName name="__123Graph_F" hidden="1">[1]A!#REF!</definedName>
    <definedName name="__aiu2">[2]AIU!$J$105</definedName>
    <definedName name="__EST1">#REF!</definedName>
    <definedName name="__EST10">#REF!</definedName>
    <definedName name="__EST11">#REF!</definedName>
    <definedName name="__EST12">#REF!</definedName>
    <definedName name="__EST13">#REF!</definedName>
    <definedName name="__EST14">#REF!</definedName>
    <definedName name="__EST15">#REF!</definedName>
    <definedName name="__EST16">#REF!</definedName>
    <definedName name="__EST17">#REF!</definedName>
    <definedName name="__EST18">#REF!</definedName>
    <definedName name="__EST19">#REF!</definedName>
    <definedName name="__EST2">#REF!</definedName>
    <definedName name="__EST23">#REF!</definedName>
    <definedName name="__EST3">#REF!</definedName>
    <definedName name="__EST4">#REF!</definedName>
    <definedName name="__EST5">#REF!</definedName>
    <definedName name="__EST6">#REF!</definedName>
    <definedName name="__EST7">#REF!</definedName>
    <definedName name="__EST8">#REF!</definedName>
    <definedName name="__EST9">#REF!</definedName>
    <definedName name="__EXC1">#REF!</definedName>
    <definedName name="__EXC10">#REF!</definedName>
    <definedName name="__EXC11">#REF!</definedName>
    <definedName name="__EXC12">#REF!</definedName>
    <definedName name="__EXC2">#REF!</definedName>
    <definedName name="__EXC3">#REF!</definedName>
    <definedName name="__EXC4">#REF!</definedName>
    <definedName name="__EXC5">#REF!</definedName>
    <definedName name="__EXC6">#REF!</definedName>
    <definedName name="__EXC7">#REF!</definedName>
    <definedName name="__EXC8">#REF!</definedName>
    <definedName name="__EXC9">#REF!</definedName>
    <definedName name="__PJ50">#REF!</definedName>
    <definedName name="__pj51">#REF!</definedName>
    <definedName name="__VOL1" hidden="1">#REF!</definedName>
    <definedName name="_123" hidden="1">[1]A!#REF!</definedName>
    <definedName name="_42C">#REF!</definedName>
    <definedName name="_42D">#REF!</definedName>
    <definedName name="_42E">#REF!</definedName>
    <definedName name="_44">#REF!</definedName>
    <definedName name="_6">#REF!</definedName>
    <definedName name="_aiu2">[2]AIU!$J$105</definedName>
    <definedName name="_APU221">#REF!</definedName>
    <definedName name="_APU465" localSheetId="3">[3]!absc</definedName>
    <definedName name="_APU465">[3]!absc</definedName>
    <definedName name="_DAT5">#REF!</definedName>
    <definedName name="_EST1">#REF!</definedName>
    <definedName name="_EST10">#REF!</definedName>
    <definedName name="_EST11">#REF!</definedName>
    <definedName name="_EST12">#REF!</definedName>
    <definedName name="_EST13">#REF!</definedName>
    <definedName name="_EST14">#REF!</definedName>
    <definedName name="_EST15">#REF!</definedName>
    <definedName name="_EST16">#REF!</definedName>
    <definedName name="_EST17">#REF!</definedName>
    <definedName name="_EST18">#REF!</definedName>
    <definedName name="_EST19">#REF!</definedName>
    <definedName name="_EST2">#REF!</definedName>
    <definedName name="_EST23">#REF!</definedName>
    <definedName name="_EST3">#REF!</definedName>
    <definedName name="_EST4">#REF!</definedName>
    <definedName name="_EST5">#REF!</definedName>
    <definedName name="_EST6">#REF!</definedName>
    <definedName name="_EST7">#REF!</definedName>
    <definedName name="_EST8">#REF!</definedName>
    <definedName name="_EST9">#REF!</definedName>
    <definedName name="_EXC1">#REF!</definedName>
    <definedName name="_EXC10">#REF!</definedName>
    <definedName name="_EXC11">#REF!</definedName>
    <definedName name="_EXC12">#REF!</definedName>
    <definedName name="_EXC2">#REF!</definedName>
    <definedName name="_EXC3">#REF!</definedName>
    <definedName name="_EXC4">#REF!</definedName>
    <definedName name="_EXC5">#REF!</definedName>
    <definedName name="_EXC6">#REF!</definedName>
    <definedName name="_EXC7">#REF!</definedName>
    <definedName name="_EXC8">#REF!</definedName>
    <definedName name="_EXC9">#REF!</definedName>
    <definedName name="_FC">#REF!</definedName>
    <definedName name="_Fill" hidden="1">#REF!</definedName>
    <definedName name="_xlnm._FilterDatabase" localSheetId="2" hidden="1">APU!$A$661:$J$683</definedName>
    <definedName name="_xlnm._FilterDatabase" hidden="1">'[4]46W9'!#REF!</definedName>
    <definedName name="_INF1">#REF!</definedName>
    <definedName name="_INF2">#REF!</definedName>
    <definedName name="_INF3">#REF!</definedName>
    <definedName name="_Key1" hidden="1">#REF!</definedName>
    <definedName name="_Key2" hidden="1">#REF!</definedName>
    <definedName name="_KEY3" hidden="1">#REF!</definedName>
    <definedName name="_laslzxk">[5]Presupuesto!#REF!</definedName>
    <definedName name="_llajdjw">[5]Presupuesto!#REF!</definedName>
    <definedName name="_MatInverse_In" hidden="1">#REF!</definedName>
    <definedName name="_MatInverse_In1" hidden="1">#REF!</definedName>
    <definedName name="_MATiNVERSE_INN" hidden="1">#REF!</definedName>
    <definedName name="_Order1" hidden="1">255</definedName>
    <definedName name="_Order2" hidden="1">255</definedName>
    <definedName name="_PJ50">#REF!</definedName>
    <definedName name="_pj51">#REF!</definedName>
    <definedName name="_Sort" hidden="1">#REF!</definedName>
    <definedName name="_VOL1" hidden="1">#REF!</definedName>
    <definedName name="A" localSheetId="3">#REF!</definedName>
    <definedName name="a" localSheetId="1">#REF!</definedName>
    <definedName name="a">#REF!</definedName>
    <definedName name="A_impresión_IM">#REF!</definedName>
    <definedName name="Aaaa">[5]Presupuesto!#REF!</definedName>
    <definedName name="aaaaa">[5]Presupuesto!#REF!</definedName>
    <definedName name="aaaaaaa">[5]Presupuesto!#REF!</definedName>
    <definedName name="aaaaaaaaa">#REF!</definedName>
    <definedName name="aaaaaaaaaaaaaa">#REF!</definedName>
    <definedName name="aaaaaaaaaaaaaaa">[5]Presupuesto!#REF!</definedName>
    <definedName name="aaaaaaaaaaaaaaaaaa">#REF!</definedName>
    <definedName name="aaaaaaaaaaaaaaaaaaaaa">#REF!</definedName>
    <definedName name="aasasasssoye">#REF!</definedName>
    <definedName name="aasdd">#REF!</definedName>
    <definedName name="ab">#REF!</definedName>
    <definedName name="absc">#N/A</definedName>
    <definedName name="AccessDatabase" hidden="1">"C:\C-314\VOLUMENES\volfin4.mdb"</definedName>
    <definedName name="Actividades">[6]Presupuesto!$B$2:$B$76</definedName>
    <definedName name="ACUM">#REF!</definedName>
    <definedName name="adas2">[5]Presupuesto!#REF!</definedName>
    <definedName name="addad">[5]Presupuesto!#REF!</definedName>
    <definedName name="addasa">[5]Presupuesto!#REF!</definedName>
    <definedName name="addf">#REF!</definedName>
    <definedName name="aderf">#REF!</definedName>
    <definedName name="adoq" localSheetId="3">[7]!absc</definedName>
    <definedName name="adoq">[7]!absc</definedName>
    <definedName name="ADSAD">[5]Presupuesto!#REF!</definedName>
    <definedName name="ADSASD">#REF!</definedName>
    <definedName name="adsdqsdQSD">#REF!</definedName>
    <definedName name="AdSDSD">#REF!</definedName>
    <definedName name="affert">[5]Presupuesto!#REF!</definedName>
    <definedName name="AFSDGSDG">[5]Presupuesto!#REF!</definedName>
    <definedName name="AFwfwdfdf">[5]Presupuesto!#REF!</definedName>
    <definedName name="AI">#REF!</definedName>
    <definedName name="alc" localSheetId="3">[8]!absc</definedName>
    <definedName name="alc">[8]!absc</definedName>
    <definedName name="alsalsldk">[5]Presupuesto!#REF!</definedName>
    <definedName name="ALSDKA">#REF!</definedName>
    <definedName name="AÑOWUIE">'[9]Res-Accide-10'!$R$2:$R$7</definedName>
    <definedName name="AP" localSheetId="3">[3]!absc</definedName>
    <definedName name="AP">[3]!absc</definedName>
    <definedName name="APARAT_SAN_INCRUST_ITEM_CEDE">[5]Presupuesto!#REF!</definedName>
    <definedName name="APARAT_SANIT_VALOR">[5]Presupuesto!$G$939,[5]Presupuesto!$G$940,[5]Presupuesto!$G$941,[5]Presupuesto!$G$942:$G$945</definedName>
    <definedName name="apartado">[5]Presupuesto!#REF!</definedName>
    <definedName name="APU" localSheetId="3">[10]!absc</definedName>
    <definedName name="APU">[10]!absc</definedName>
    <definedName name="APU221.1">#REF!</definedName>
    <definedName name="APU221.2">#REF!</definedName>
    <definedName name="AQJABD">#REF!</definedName>
    <definedName name="_xlnm.Print_Area" localSheetId="3">'AIU '!$A$1:$J$30</definedName>
    <definedName name="_xlnm.Print_Area" localSheetId="2">APU!$A$1:$J$661</definedName>
    <definedName name="_xlnm.Print_Area" localSheetId="0">PTO!$A$1:$G$37</definedName>
    <definedName name="_xlnm.Print_Area">#REF!</definedName>
    <definedName name="aris" hidden="1">#REF!</definedName>
    <definedName name="aris2" hidden="1">#REF!</definedName>
    <definedName name="ARISS" hidden="1">#REF!</definedName>
    <definedName name="asaddf">[5]Presupuesto!#REF!</definedName>
    <definedName name="ASADDSASD">[5]Presupuesto!#REF!</definedName>
    <definedName name="ASAS">[5]Presupuesto!#REF!</definedName>
    <definedName name="asasas">#REF!</definedName>
    <definedName name="asasasasas">[5]Presupuesto!#REF!</definedName>
    <definedName name="asasasasasasssss">#REF!</definedName>
    <definedName name="ASASD">#REF!</definedName>
    <definedName name="asdfñk" localSheetId="3">[11]!absc</definedName>
    <definedName name="asdfñk">[11]!absc</definedName>
    <definedName name="asdsdasd">#REF!</definedName>
    <definedName name="ASDSFDGFASFSAFFAASFS">[5]Presupuesto!#REF!</definedName>
    <definedName name="asffsaf">[5]Presupuesto!#REF!</definedName>
    <definedName name="ASss">[5]Presupuesto!#REF!</definedName>
    <definedName name="auto1">#REF!</definedName>
    <definedName name="auto2">#REF!</definedName>
    <definedName name="aweer">#REF!</definedName>
    <definedName name="awqwqw">[5]Presupuesto!#REF!</definedName>
    <definedName name="b" localSheetId="3">#REF!</definedName>
    <definedName name="b" localSheetId="1">#REF!</definedName>
    <definedName name="b">#REF!</definedName>
    <definedName name="_xlnm.Database">#REF!</definedName>
    <definedName name="Bd">#REF!</definedName>
    <definedName name="Bd__2">#REF!</definedName>
    <definedName name="BuiltIn_Print_Area">#REF!</definedName>
    <definedName name="BuiltIn_Print_Titles">#REF!</definedName>
    <definedName name="C.LOM">#REF!</definedName>
    <definedName name="C.RAS">#REF!</definedName>
    <definedName name="C.TERR">#REF!</definedName>
    <definedName name="C_">#REF!</definedName>
    <definedName name="C_LOM">#REF!</definedName>
    <definedName name="Cables">[12]Tablas!$N$5:$N$32</definedName>
    <definedName name="CAM_CAIDA">#REF!</definedName>
    <definedName name="CAN">[1]A!#REF!</definedName>
    <definedName name="CANT">#REF!</definedName>
    <definedName name="CCCCCC">'[13]A. P. U.'!#REF!</definedName>
    <definedName name="ccto210">#REF!</definedName>
    <definedName name="Ciudades">[14]Insumos!$B$2:$B$2</definedName>
    <definedName name="cleotilde">[5]Presupuesto!#REF!</definedName>
    <definedName name="CO">#REF!</definedName>
    <definedName name="CODIGO">#REF!</definedName>
    <definedName name="columnas">#REF!</definedName>
    <definedName name="concreto_FC_2.2">#REF!</definedName>
    <definedName name="Concretos">[14]Insumos!#REF!</definedName>
    <definedName name="costcontr">[15]INFORME_V180213!$D$59</definedName>
    <definedName name="COTIZADO_EN">#REF!</definedName>
    <definedName name="cualquierudo">[5]Presupuesto!#REF!</definedName>
    <definedName name="D" localSheetId="1">#REF!</definedName>
    <definedName name="D">#REF!</definedName>
    <definedName name="DADADAD" localSheetId="3" hidden="1">{#N/A,#N/A,TRUE,"CODIGO DEPENDENCIA"}</definedName>
    <definedName name="DADADAD" localSheetId="2" hidden="1">{#N/A,#N/A,TRUE,"CODIGO DEPENDENCIA"}</definedName>
    <definedName name="DADADAD" localSheetId="1" hidden="1">{#N/A,#N/A,TRUE,"CODIGO DEPENDENCIA"}</definedName>
    <definedName name="DADADAD" localSheetId="4" hidden="1">{#N/A,#N/A,TRUE,"CODIGO DEPENDENCIA"}</definedName>
    <definedName name="DADADAD" hidden="1">{#N/A,#N/A,TRUE,"CODIGO DEPENDENCIA"}</definedName>
    <definedName name="Database">#REF!</definedName>
    <definedName name="Datos">#REF!</definedName>
    <definedName name="Datos1">#REF!</definedName>
    <definedName name="datospsa">#REF!</definedName>
    <definedName name="DATT5">#REF!</definedName>
    <definedName name="DD">#REF!</definedName>
    <definedName name="DESCRIPCION">#REF!</definedName>
    <definedName name="DFFFF">[5]Presupuesto!#REF!</definedName>
    <definedName name="DFHDFDN">[5]Presupuesto!#REF!</definedName>
    <definedName name="DGGZ">#REF!</definedName>
    <definedName name="diego">#REF!</definedName>
    <definedName name="diego1">#REF!</definedName>
    <definedName name="ds">[5]Presupuesto!#REF!</definedName>
    <definedName name="DSASS">[5]Presupuesto!#REF!</definedName>
    <definedName name="dsd">[5]Presupuesto!#REF!</definedName>
    <definedName name="DSDSD">#REF!</definedName>
    <definedName name="dsvrsgesr">[5]Presupuesto!#REF!</definedName>
    <definedName name="DTHDYJJ">[5]Presupuesto!#REF!</definedName>
    <definedName name="dtthus">#REF!</definedName>
    <definedName name="dwfgrre">[5]Presupuesto!#REF!</definedName>
    <definedName name="e" localSheetId="3">#REF!</definedName>
    <definedName name="e" localSheetId="1">#REF!</definedName>
    <definedName name="E">[5]Presupuesto!#REF!</definedName>
    <definedName name="edwd">[5]Presupuesto!#REF!</definedName>
    <definedName name="eeawriofest">[5]Presupuesto!#REF!</definedName>
    <definedName name="EEERTRT">#REF!</definedName>
    <definedName name="eertggh">#REF!</definedName>
    <definedName name="eewtreeg">#REF!</definedName>
    <definedName name="ef">[5]Presupuesto!#REF!</definedName>
    <definedName name="efefefrg">#REF!</definedName>
    <definedName name="efsdg">#REF!</definedName>
    <definedName name="ELET5">#REF!</definedName>
    <definedName name="embuste">#REF!</definedName>
    <definedName name="ENCHAPES_VALOR">[5]Presupuesto!$G$67:$G$68,[5]Presupuesto!$G$70:$G$71,[5]Presupuesto!$G$72</definedName>
    <definedName name="EQUI" localSheetId="3">[16]EQUIPO!$B$2:$B$36</definedName>
    <definedName name="EQUI" localSheetId="1">[16]EQUIPO!$B$2:$B$36</definedName>
    <definedName name="EQUI">[17]EQUIPO!$B$2:$B$36</definedName>
    <definedName name="EQUIPO">#REF!</definedName>
    <definedName name="EQUIPO_1" localSheetId="3">[16]EQUIPO!$B$2:$D$36</definedName>
    <definedName name="EQUIPO_1" localSheetId="1">[16]EQUIPO!$B$2:$D$36</definedName>
    <definedName name="EQUIPO_1">[17]EQUIPO!$B$2:$D$36</definedName>
    <definedName name="ERE">[5]Presupuesto!#REF!</definedName>
    <definedName name="ettgergg">[5]Presupuesto!#REF!</definedName>
    <definedName name="Excel_BuiltIn_Print_Area_1" localSheetId="1">#REF!</definedName>
    <definedName name="Excel_BuiltIn_Print_Area_1">#REF!</definedName>
    <definedName name="Excel_BuiltIn_Print_Area_1_1" localSheetId="1">#REF!</definedName>
    <definedName name="Excel_BuiltIn_Print_Area_1_1">#REF!</definedName>
    <definedName name="Excel_BuiltIn_Print_Area_1_1_1" localSheetId="1">#REF!</definedName>
    <definedName name="Excel_BuiltIn_Print_Area_1_1_1">#REF!</definedName>
    <definedName name="Excel_BuiltIn_Print_Area_1_1_1_1">#REF!</definedName>
    <definedName name="Excel_BuiltIn_Print_Area_7">#REF!</definedName>
    <definedName name="Excel_BuiltIn_Print_Titles_1">#REF!</definedName>
    <definedName name="Excel_BuiltIn_Print_Titles_1_1">#REF!</definedName>
    <definedName name="Excel_BuiltIn_Print_Titles_1_1_1">#REF!</definedName>
    <definedName name="Excel_BuiltIn_Print_Titles_3">'[18]COSTOS OFICINA'!#REF!</definedName>
    <definedName name="Excel_BuiltIn_Print_Titles_4">'[18]COSTOS CAMPAMENTO'!#REF!</definedName>
    <definedName name="EXCROC">'[19]Análisis de precios'!$H$52</definedName>
    <definedName name="fd">'[13]A. P. U.'!#REF!</definedName>
    <definedName name="FDSE">'[9]Res-Accide-10'!#REF!</definedName>
    <definedName name="FDYJJTYJ">#REF!</definedName>
    <definedName name="fefw">[5]Presupuesto!#REF!</definedName>
    <definedName name="ferqer">[5]Presupuesto!#REF!</definedName>
    <definedName name="Festivos">'[20]días habiles 2015'!$D$2:$D$21</definedName>
    <definedName name="ffffff">#REF!</definedName>
    <definedName name="ffgdhth">[5]Presupuesto!#REF!</definedName>
    <definedName name="FI">#REF!</definedName>
    <definedName name="FIN">#REF!</definedName>
    <definedName name="Fin_de_semana">'[20]días habiles 2015'!$M$1:$M$2</definedName>
    <definedName name="FR">[1]A!#REF!</definedName>
    <definedName name="fyjtkjl">[5]Presupuesto!#REF!</definedName>
    <definedName name="gggggg">#REF!</definedName>
    <definedName name="GKJDGDIJZ">"Imagen 3"</definedName>
    <definedName name="GRUPO1">#REF!</definedName>
    <definedName name="GRUPO2">#REF!</definedName>
    <definedName name="H" hidden="1">#REF!</definedName>
    <definedName name="h.LOM">#REF!</definedName>
    <definedName name="H.LOMO">[21]TUBERIA!$S$10:$S$14</definedName>
    <definedName name="h.POZ">#REF!</definedName>
    <definedName name="HFDD">'[13]A. P. U.'!#REF!</definedName>
    <definedName name="HH">#REF!</definedName>
    <definedName name="HOJA1">#REF!</definedName>
    <definedName name="HOLA">[6]Presupuesto!$A$2:$A$76</definedName>
    <definedName name="I">#REF!</definedName>
    <definedName name="IF">'[13]A. P. U.'!#REF!</definedName>
    <definedName name="IJHH">#REF!</definedName>
    <definedName name="Imprimir_área_IM">#REF!</definedName>
    <definedName name="Imprimir_títulos_IM">#REF!</definedName>
    <definedName name="inf">#REF!</definedName>
    <definedName name="INFG">#REF!</definedName>
    <definedName name="INSUMOS">[22]INSUMOS!$A$1:$A$859</definedName>
    <definedName name="INV_11">'[23]PR 1'!$A$2:$N$655</definedName>
    <definedName name="ITEM">#REF!</definedName>
    <definedName name="ITEMS">[24]PRESUPUESTO!$B$4:$B$77</definedName>
    <definedName name="Ítems">[6]Presupuesto!$A$2:$A$76</definedName>
    <definedName name="iytdtjtyud">[5]Presupuesto!#REF!</definedName>
    <definedName name="JDJSFJF">#REF!</definedName>
    <definedName name="K0F1" localSheetId="1">#REF!</definedName>
    <definedName name="K0F1">#REF!</definedName>
    <definedName name="K0F2" localSheetId="1">#REF!</definedName>
    <definedName name="K0F2">#REF!</definedName>
    <definedName name="K10ALO" localSheetId="1">#REF!</definedName>
    <definedName name="K10ALO">#REF!</definedName>
    <definedName name="K11ALO">#REF!</definedName>
    <definedName name="K1F1">#REF!</definedName>
    <definedName name="K1F2">#REF!</definedName>
    <definedName name="K2F1">#REF!</definedName>
    <definedName name="K2F2">#REF!</definedName>
    <definedName name="K3F1">#REF!</definedName>
    <definedName name="K3F2">#REF!</definedName>
    <definedName name="K4F1">#REF!</definedName>
    <definedName name="K4F2">#REF!</definedName>
    <definedName name="K5F1">#REF!</definedName>
    <definedName name="K5F2">#REF!</definedName>
    <definedName name="K6F1">#REF!</definedName>
    <definedName name="K6F2">#REF!</definedName>
    <definedName name="K7F1">#REF!</definedName>
    <definedName name="K7F2">#REF!</definedName>
    <definedName name="K8ALO">#REF!</definedName>
    <definedName name="K8F1">#REF!</definedName>
    <definedName name="K8F2">#REF!</definedName>
    <definedName name="K9ALO">#REF!</definedName>
    <definedName name="KASKAS">#REF!</definedName>
    <definedName name="KBBM">#REF!</definedName>
    <definedName name="KELYHERMOSATEAMO">[5]Presupuesto!#REF!</definedName>
    <definedName name="kj">[5]Presupuesto!#REF!</definedName>
    <definedName name="KO" hidden="1">#REF!</definedName>
    <definedName name="kwkdp">#REF!</definedName>
    <definedName name="L_TUB">#REF!</definedName>
    <definedName name="LICITACION">#REF!</definedName>
    <definedName name="LIMPIO">#REF!</definedName>
    <definedName name="lindera">#REF!</definedName>
    <definedName name="LIST_MATERIAL">'[25]8. Lista de Insumos'!$B$8:$B$327</definedName>
    <definedName name="LISTA_MATER">[26]INSUMOS!$A$5:$A$2195</definedName>
    <definedName name="LISTADO_OBRERO">'[27]Jornal día'!$A$4:$A$20</definedName>
    <definedName name="lll">[5]Presupuesto!#REF!</definedName>
    <definedName name="lllll">[5]Presupuesto!#REF!</definedName>
    <definedName name="LÑÑKK">#REF!</definedName>
    <definedName name="LOCA" localSheetId="3">[28]!absc</definedName>
    <definedName name="LOCA">[28]!absc</definedName>
    <definedName name="LOCA1" localSheetId="3">[10]!absc</definedName>
    <definedName name="LOCA1">[10]!absc</definedName>
    <definedName name="LOSA_ALERRO">[5]Presupuesto!#REF!</definedName>
    <definedName name="losa_de">#REF!</definedName>
    <definedName name="LOSAALER">[5]Presupuesto!#REF!</definedName>
    <definedName name="mac" localSheetId="1">#REF!</definedName>
    <definedName name="mac">#REF!</definedName>
    <definedName name="MAL">'[29]Estado Resumen'!#REF!&lt;2.5</definedName>
    <definedName name="MALO">'[30]ESTADO VÍA-CRIT.TECNICO'!#REF!&lt;2.5</definedName>
    <definedName name="MAMAMAM">#REF!</definedName>
    <definedName name="mami">[5]Presupuesto!#REF!</definedName>
    <definedName name="MANO_DE_OBRA">[31]TABLAS!$C$6:$C$98</definedName>
    <definedName name="MANO_O">[32]Análisis_MdeO!$A$6:$A$14</definedName>
    <definedName name="MAQUINARIA_EQUIPOS">'[31]Costo Maquinaría 2016'!$A$3:$A$109</definedName>
    <definedName name="MAT">#REF!</definedName>
    <definedName name="mAT_MANO">[32]Análisis_MdeO!$A$6:$H$14</definedName>
    <definedName name="MAT_MATER">'[25]8. Lista de Insumos'!$B$8:$D$327</definedName>
    <definedName name="MATER" localSheetId="3">[16]MATERIAL!$B$3:$B$580</definedName>
    <definedName name="MATER" localSheetId="1">[16]MATERIAL!$B$3:$B$580</definedName>
    <definedName name="MATER">[17]MATERIAL!$B$3:$B$580</definedName>
    <definedName name="MATERIALES" localSheetId="3">[16]MATERIAL!$B$2:$D$580</definedName>
    <definedName name="MATERIALES" localSheetId="1">[16]MATERIAL!$B$2:$D$580</definedName>
    <definedName name="MATERIALES">[17]MATERIAL!$B$2:$D$580</definedName>
    <definedName name="MATRIZ_OBRERO">'[27]Jornal día'!$A$4:$E$20</definedName>
    <definedName name="memor">[5]Presupuesto!#REF!</definedName>
    <definedName name="mentiras">[5]Presupuesto!#REF!</definedName>
    <definedName name="MULTI">[1]A!#REF!</definedName>
    <definedName name="MUROS_BLOQ_PLOMO_VALOR">[5]Presupuesto!$G$62:$G$66</definedName>
    <definedName name="necesito">[5]Presupuesto!#REF!</definedName>
    <definedName name="NM">#REF!</definedName>
    <definedName name="NNN" localSheetId="3">[3]!absc</definedName>
    <definedName name="NNN">[3]!absc</definedName>
    <definedName name="NOMBRE">#REF!</definedName>
    <definedName name="nooooooo">[5]Presupuesto!#REF!</definedName>
    <definedName name="ññklj">#REF!</definedName>
    <definedName name="OBSERV">#REF!</definedName>
    <definedName name="ooo">#REF!</definedName>
    <definedName name="paquete1.5tons">#REF!</definedName>
    <definedName name="paquete10tons">#REF!</definedName>
    <definedName name="paquete12.5tons">#REF!</definedName>
    <definedName name="paquete15tons">#REF!</definedName>
    <definedName name="paquete2.5tons">#REF!</definedName>
    <definedName name="paquete20tons">#REF!</definedName>
    <definedName name="paquete25tons">#REF!</definedName>
    <definedName name="paquete2tons">#REF!</definedName>
    <definedName name="paquete30tons">#REF!</definedName>
    <definedName name="paquete3tons">#REF!</definedName>
    <definedName name="paquete4tons">#REF!</definedName>
    <definedName name="paquete5tons">#REF!</definedName>
    <definedName name="paquete7.5tons">#REF!</definedName>
    <definedName name="PER_PAV">#REF!</definedName>
    <definedName name="PISOS_CONC_ESP_PUBL_VALOR">[5]Presupuesto!$G$131:$G$132,[5]Presupuesto!$G$133:$G$137,[5]Presupuesto!$G$138,[5]Presupuesto!$G$139:$G$140,[5]Presupuesto!$G$141:$G$142</definedName>
    <definedName name="PISOS_CONC_GRAN_VALOR">[5]Presupuesto!$G$148:$G$168,[5]Presupuesto!$G$143:$G$146</definedName>
    <definedName name="porque">#REF!</definedName>
    <definedName name="POZ">#REF!</definedName>
    <definedName name="POZO">#REF!</definedName>
    <definedName name="POZO1.2">#REF!</definedName>
    <definedName name="POZOS">#REF!</definedName>
    <definedName name="pp">#REF!</definedName>
    <definedName name="PRE">#REF!</definedName>
    <definedName name="PRECIO">#REF!</definedName>
    <definedName name="Presupuesto_Maternidad">#REF!</definedName>
    <definedName name="PRESUPUESTOCLIENTE3" hidden="1">#REF!</definedName>
    <definedName name="Print_Area" localSheetId="3">#REF!</definedName>
    <definedName name="Print_Area" localSheetId="1">CANT!$A$1:$P$150</definedName>
    <definedName name="Print_Area">#REF!</definedName>
    <definedName name="PRINT_AREA_MI">#N/A</definedName>
    <definedName name="Print_Titles" localSheetId="1">CANT!$1:$7</definedName>
    <definedName name="Print_Titles">#REF!</definedName>
    <definedName name="PRINT_TITLES_MI">#N/A</definedName>
    <definedName name="proj_id">'[33]Project Management Main'!$D$9</definedName>
    <definedName name="proj_mgr">'[33]Project Management Main'!$D$12</definedName>
    <definedName name="proj_nm">'[33]Project Management Main'!$D$10</definedName>
    <definedName name="prueba" localSheetId="1">#REF!</definedName>
    <definedName name="prueba">#REF!</definedName>
    <definedName name="PRUEBA2">#REF!</definedName>
    <definedName name="PWINCHE2000K">[34]Insumos!$D$568</definedName>
    <definedName name="Q" localSheetId="1">#REF!</definedName>
    <definedName name="Q">#REF!</definedName>
    <definedName name="q3erju">#REF!</definedName>
    <definedName name="qADSJBad">[5]Presupuesto!#REF!</definedName>
    <definedName name="qaqwqae">#REF!</definedName>
    <definedName name="qazsxw">[5]Presupuesto!#REF!</definedName>
    <definedName name="qazxswedc">#REF!</definedName>
    <definedName name="qdwwf2w2w">#REF!</definedName>
    <definedName name="qERRTRF">[5]Presupuesto!#REF!</definedName>
    <definedName name="QJWEJDN">#REF!</definedName>
    <definedName name="qq">#REF!</definedName>
    <definedName name="qqadd">[5]Presupuesto!#REF!</definedName>
    <definedName name="qqqq">[5]Presupuesto!#REF!</definedName>
    <definedName name="qqqqq">[5]Presupuesto!#REF!</definedName>
    <definedName name="qqqqqq">#REF!</definedName>
    <definedName name="qqqqqqqqqq">[5]Presupuesto!#REF!</definedName>
    <definedName name="qqwe">[5]Presupuesto!#REF!</definedName>
    <definedName name="qqwqw">[5]Presupuesto!#REF!</definedName>
    <definedName name="qssqa">[5]Presupuesto!#REF!</definedName>
    <definedName name="qsss">[5]Presupuesto!#REF!</definedName>
    <definedName name="qtryiyuiyuiyui">[5]Presupuesto!#REF!</definedName>
    <definedName name="que_es_esto">#REF!</definedName>
    <definedName name="qwd">[5]Presupuesto!#REF!</definedName>
    <definedName name="qwdqwd">#REF!</definedName>
    <definedName name="qwdsd">#REF!</definedName>
    <definedName name="qwe">#REF!</definedName>
    <definedName name="QWERT">[5]Presupuesto!#REF!</definedName>
    <definedName name="QWLWE">[5]Presupuesto!#REF!</definedName>
    <definedName name="qwqwe">[5]Presupuesto!#REF!</definedName>
    <definedName name="qwqwqw">[5]Presupuesto!#REF!</definedName>
    <definedName name="qwqwqwa">#REF!</definedName>
    <definedName name="qwqwyqwhas">#REF!</definedName>
    <definedName name="qwwqwe">#REF!</definedName>
    <definedName name="rateadohormigon">[35]I.HORMIGON!$J$81</definedName>
    <definedName name="REG">'[29]Estado Resumen'!XFC1&gt;2.5</definedName>
    <definedName name="REGULAR">'[30]ESTADO VÍA-CRIT.TECNICO'!XFC1&gt;2.5</definedName>
    <definedName name="rell">#REF!</definedName>
    <definedName name="RELLG">#REF!</definedName>
    <definedName name="RELLG1">#REF!</definedName>
    <definedName name="Rendimiento">[31]TABLAS!$A$3:$A$4</definedName>
    <definedName name="REP.PAV">'[36]factores A.N.'!$F$15:$F$69</definedName>
    <definedName name="repuesto">#REF!</definedName>
    <definedName name="resumendescargadero">#REF!</definedName>
    <definedName name="resumentanques">[37]Resumen!$I$3:$CC$27</definedName>
    <definedName name="RF">#REF!</definedName>
    <definedName name="rfgr">#REF!</definedName>
    <definedName name="rfref" localSheetId="1">#REF!</definedName>
    <definedName name="rfref">#REF!</definedName>
    <definedName name="rtrtrtg">[5]Presupuesto!#REF!</definedName>
    <definedName name="S" localSheetId="3">#REF!</definedName>
    <definedName name="S" localSheetId="1">#REF!</definedName>
    <definedName name="S">#REF!</definedName>
    <definedName name="sadfffff">[5]Presupuesto!#REF!</definedName>
    <definedName name="Salario">[38]TABLAS!$G$7:$G$32</definedName>
    <definedName name="sdf" localSheetId="1">#REF!</definedName>
    <definedName name="sdf">#REF!</definedName>
    <definedName name="SDHSDnasd">[5]Presupuesto!#REF!</definedName>
    <definedName name="sds" localSheetId="1">#REF!</definedName>
    <definedName name="sds">#REF!</definedName>
    <definedName name="SDSADSD">#REF!</definedName>
    <definedName name="SHARED_FORMULA_21">#N/A</definedName>
    <definedName name="sorey">#REF!</definedName>
    <definedName name="soreynn">#REF!</definedName>
    <definedName name="soreyñ">#REF!</definedName>
    <definedName name="soreyñññ">#REF!</definedName>
    <definedName name="split1.5tons">#REF!</definedName>
    <definedName name="split10tons">#REF!</definedName>
    <definedName name="split12.5tons">#REF!</definedName>
    <definedName name="split15tons">#REF!</definedName>
    <definedName name="split1ton">#REF!</definedName>
    <definedName name="split2.5tons">#REF!</definedName>
    <definedName name="split20tons">#REF!</definedName>
    <definedName name="split2tons">#REF!</definedName>
    <definedName name="split3tons">#REF!</definedName>
    <definedName name="split4tons">#REF!</definedName>
    <definedName name="split5tons">#REF!</definedName>
    <definedName name="split7.5tons">#REF!</definedName>
    <definedName name="splitt15tons">#REF!</definedName>
    <definedName name="SRREY">#REF!</definedName>
    <definedName name="ssdffffdfdf">[5]Presupuesto!#REF!</definedName>
    <definedName name="STAYTY">#REF!</definedName>
    <definedName name="t" localSheetId="3">[3]!absc</definedName>
    <definedName name="t">[3]!absc</definedName>
    <definedName name="T.1_POZ">[39]TUBERIA!$AB$10:$AB$84</definedName>
    <definedName name="T1__2_FC1_5">#REF!</definedName>
    <definedName name="T1__2_FC1_9">#REF!</definedName>
    <definedName name="T1__3__2_FC1_9">#REF!</definedName>
    <definedName name="T1_FC_1.5__.2">#REF!</definedName>
    <definedName name="T1_FC_1.9__.2">#REF!</definedName>
    <definedName name="T1_FC1_5">'[36]factores A.N.'!$H$8:$H$33</definedName>
    <definedName name="T1_FC1_9">'[36]factores A.N.'!$J$8:$J$33</definedName>
    <definedName name="T1_FC2.2">[40]FACTORES!$M$8:$M$23</definedName>
    <definedName name="T11SF15">#REF!</definedName>
    <definedName name="T11SF19">#REF!</definedName>
    <definedName name="T2_FC_1.5__.3">#REF!</definedName>
    <definedName name="T2_FC_1.5__.3_.2">#REF!</definedName>
    <definedName name="T2_FC_1.9__.3">#REF!</definedName>
    <definedName name="T2_FC_1.9__.3_.2">#REF!</definedName>
    <definedName name="T2_FC1_5">'[36]factores A.N.'!$I$8:$I$33</definedName>
    <definedName name="T2_FC1_9">'[36]factores A.N.'!$K$8:$K$33</definedName>
    <definedName name="T2_POZ">#REF!</definedName>
    <definedName name="T2_RAS">#REF!</definedName>
    <definedName name="T21SF15">#REF!</definedName>
    <definedName name="T21SF19">#REF!</definedName>
    <definedName name="TABLA">#REF!</definedName>
    <definedName name="Tipo_Hora">[38]TABLAS!$H$6:$J$6</definedName>
    <definedName name="TITULO">#REF!</definedName>
    <definedName name="TITULOS">#REF!</definedName>
    <definedName name="_xlnm.Print_Titles" localSheetId="0">PTO!$2:$3</definedName>
    <definedName name="_xlnm.Print_Titles">#N/A</definedName>
    <definedName name="TO">[1]A!#REF!</definedName>
    <definedName name="tot">#REF!</definedName>
    <definedName name="TOTAL">#REF!</definedName>
    <definedName name="TOTAL1">[15]INFORME_V180213!$H$57</definedName>
    <definedName name="TRAMO">#REF!</definedName>
    <definedName name="TRAT">[41]desmonte!$E$48</definedName>
    <definedName name="ttt" hidden="1">#REF!</definedName>
    <definedName name="tyuityudti">#REF!</definedName>
    <definedName name="U">#REF!</definedName>
    <definedName name="UNIDAD" localSheetId="3">#REF!</definedName>
    <definedName name="Unidad">[6]Presupuesto!$C$2:$C$76</definedName>
    <definedName name="Unidades" localSheetId="3">[42]Presup_Cancha!$J$13:$J$17</definedName>
    <definedName name="Unidades" localSheetId="1">[43]Presup_Cancha!$J$13:$J$17</definedName>
    <definedName name="Unidades">[44]Presup_Cancha!$J$13:$J$17</definedName>
    <definedName name="uystu">[5]Presupuesto!#REF!</definedName>
    <definedName name="uystue">[5]Presupuesto!#REF!</definedName>
    <definedName name="v" localSheetId="1">#REF!</definedName>
    <definedName name="v">#REF!</definedName>
    <definedName name="valor1">#REF!</definedName>
    <definedName name="valor2">#REF!</definedName>
    <definedName name="VALOR3">#REF!</definedName>
    <definedName name="victo">#REF!</definedName>
    <definedName name="VOL">#REF!</definedName>
    <definedName name="VVV">#REF!</definedName>
    <definedName name="vvvvvv">#REF!</definedName>
    <definedName name="w" hidden="1">#REF!</definedName>
    <definedName name="wdfdgdg">[5]Presupuesto!#REF!</definedName>
    <definedName name="WER">'[9]Res-Accide-10'!$S$2:$S$7</definedName>
    <definedName name="weyua">#REF!</definedName>
    <definedName name="weyup">#REF!</definedName>
    <definedName name="WHRFMSO">[5]Presupuesto!#REF!</definedName>
    <definedName name="WILSON">'[9]Res-Accide-10'!#REF!</definedName>
    <definedName name="WJDJFMS">[5]Presupuesto!#REF!</definedName>
    <definedName name="WKEKDK">#REF!</definedName>
    <definedName name="wrn.ar." localSheetId="3" hidden="1">{#N/A,#N/A,TRUE,"CODIGO DEPENDENCIA"}</definedName>
    <definedName name="wrn.ar." localSheetId="2" hidden="1">{#N/A,#N/A,TRUE,"CODIGO DEPENDENCIA"}</definedName>
    <definedName name="wrn.ar." localSheetId="1" hidden="1">{#N/A,#N/A,TRUE,"CODIGO DEPENDENCIA"}</definedName>
    <definedName name="wrn.ar." localSheetId="4" hidden="1">{#N/A,#N/A,TRUE,"CODIGO DEPENDENCIA"}</definedName>
    <definedName name="wrn.ar." hidden="1">{#N/A,#N/A,TRUE,"CODIGO DEPENDENCIA"}</definedName>
    <definedName name="WSERWEER" localSheetId="1">'[18]COSTOS OFICINA'!#REF!</definedName>
    <definedName name="WSERWEER">'[18]COSTOS OFICINA'!#REF!</definedName>
    <definedName name="wwddqwdqsd">[5]Presupuesto!#REF!</definedName>
    <definedName name="wwqdsqd">[5]Presupuesto!#REF!</definedName>
    <definedName name="XXXXXXXXXX">#REF!</definedName>
    <definedName name="XXXXXXXXXXXX">#REF!</definedName>
    <definedName name="yukuykyuk">[5]Presupuesto!#REF!</definedName>
    <definedName name="YUOYUO">[5]Presupuesto!#REF!</definedName>
    <definedName name="z" localSheetId="1">#REF!</definedName>
    <definedName name="z">#REF!</definedName>
    <definedName name="Z_086A872D_15DF_436A_8459_CE22F6819FF4_.wvu.Rows" hidden="1">[4]Presentacion!#REF!</definedName>
    <definedName name="Z_D55C8B2E_861A_459E_9D09_3AF38A1DE99E_.wvu.Rows" hidden="1">[4]Presentacion!#REF!</definedName>
    <definedName name="Z_F540D718_D9AA_403F_AE49_60D937FD77E5_.wvu.Rows" hidden="1">[4]Presentacion!#REF!</definedName>
    <definedName name="ZAPATA_MONOLITO">[45]VECINA!#REF!</definedName>
    <definedName name="ZDFAWETEFY">[5]Presupuesto!#REF!</definedName>
    <definedName name="ZZZZZZZZZZZ">'[13]A. P. U.'!#REF!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" i="5" l="1"/>
  <c r="G28" i="5"/>
  <c r="G27" i="5" s="1"/>
  <c r="B28" i="5"/>
  <c r="B27" i="5"/>
  <c r="G26" i="5"/>
  <c r="B26" i="5"/>
  <c r="G25" i="5"/>
  <c r="B25" i="5"/>
  <c r="G24" i="5"/>
  <c r="B24" i="5"/>
  <c r="G23" i="5"/>
  <c r="B23" i="5"/>
  <c r="G22" i="5"/>
  <c r="B22" i="5"/>
  <c r="G21" i="5"/>
  <c r="B21" i="5"/>
  <c r="G20" i="5"/>
  <c r="B20" i="5"/>
  <c r="G19" i="5"/>
  <c r="B19" i="5"/>
  <c r="G18" i="5"/>
  <c r="B18" i="5"/>
  <c r="B17" i="5"/>
  <c r="G16" i="5"/>
  <c r="G15" i="5" s="1"/>
  <c r="B16" i="5"/>
  <c r="B15" i="5"/>
  <c r="G14" i="5"/>
  <c r="B14" i="5"/>
  <c r="G13" i="5"/>
  <c r="B13" i="5"/>
  <c r="G12" i="5"/>
  <c r="B12" i="5"/>
  <c r="B11" i="5"/>
  <c r="G10" i="5"/>
  <c r="B10" i="5"/>
  <c r="G9" i="5"/>
  <c r="B9" i="5"/>
  <c r="G8" i="5"/>
  <c r="B8" i="5"/>
  <c r="G7" i="5"/>
  <c r="B7" i="5"/>
  <c r="G6" i="5"/>
  <c r="B6" i="5"/>
  <c r="G5" i="5"/>
  <c r="B5" i="5"/>
  <c r="J15" i="4"/>
  <c r="J13" i="4"/>
  <c r="J12" i="4"/>
  <c r="J11" i="4"/>
  <c r="J10" i="4"/>
  <c r="J9" i="4"/>
  <c r="J8" i="4"/>
  <c r="J5" i="4"/>
  <c r="I19" i="4" s="1"/>
  <c r="J19" i="4" s="1"/>
  <c r="B1" i="4"/>
  <c r="H1514" i="3"/>
  <c r="H1515" i="3" s="1"/>
  <c r="F1514" i="3"/>
  <c r="H1507" i="3"/>
  <c r="G1507" i="3"/>
  <c r="I1507" i="3" s="1"/>
  <c r="E1507" i="3"/>
  <c r="I1506" i="3"/>
  <c r="J1510" i="3" s="1"/>
  <c r="H1506" i="3"/>
  <c r="G1506" i="3"/>
  <c r="E1506" i="3"/>
  <c r="I1502" i="3"/>
  <c r="I1501" i="3"/>
  <c r="I1500" i="3"/>
  <c r="I1499" i="3"/>
  <c r="I1498" i="3"/>
  <c r="I1497" i="3"/>
  <c r="I1496" i="3"/>
  <c r="I1495" i="3"/>
  <c r="F1494" i="3"/>
  <c r="I1494" i="3" s="1"/>
  <c r="E1494" i="3"/>
  <c r="F1493" i="3"/>
  <c r="I1493" i="3" s="1"/>
  <c r="J1503" i="3" s="1"/>
  <c r="E1493" i="3"/>
  <c r="G1489" i="3"/>
  <c r="I1489" i="3" s="1"/>
  <c r="F1489" i="3"/>
  <c r="H1488" i="3"/>
  <c r="G1488" i="3"/>
  <c r="I1488" i="3" s="1"/>
  <c r="F1488" i="3"/>
  <c r="I1487" i="3"/>
  <c r="H1487" i="3"/>
  <c r="G1487" i="3"/>
  <c r="F1487" i="3"/>
  <c r="H1486" i="3"/>
  <c r="G1486" i="3"/>
  <c r="I1486" i="3" s="1"/>
  <c r="F1486" i="3"/>
  <c r="I1482" i="3"/>
  <c r="B1482" i="3"/>
  <c r="A1479" i="3"/>
  <c r="H1476" i="3"/>
  <c r="G1476" i="3"/>
  <c r="I1476" i="3" s="1"/>
  <c r="F1476" i="3"/>
  <c r="E1476" i="3"/>
  <c r="H1475" i="3"/>
  <c r="F1475" i="3"/>
  <c r="E1475" i="3"/>
  <c r="H1468" i="3"/>
  <c r="I1468" i="3" s="1"/>
  <c r="J1471" i="3" s="1"/>
  <c r="G1468" i="3"/>
  <c r="E1468" i="3"/>
  <c r="H1467" i="3"/>
  <c r="G1467" i="3"/>
  <c r="I1467" i="3" s="1"/>
  <c r="E1467" i="3"/>
  <c r="I1463" i="3"/>
  <c r="I1462" i="3"/>
  <c r="I1461" i="3"/>
  <c r="I1460" i="3"/>
  <c r="I1459" i="3"/>
  <c r="I1458" i="3"/>
  <c r="I1457" i="3"/>
  <c r="I1456" i="3"/>
  <c r="G1455" i="3"/>
  <c r="I1455" i="3" s="1"/>
  <c r="J1464" i="3" s="1"/>
  <c r="F1455" i="3"/>
  <c r="E1455" i="3"/>
  <c r="F1454" i="3"/>
  <c r="I1454" i="3" s="1"/>
  <c r="E1454" i="3"/>
  <c r="G1450" i="3"/>
  <c r="I1450" i="3" s="1"/>
  <c r="F1450" i="3"/>
  <c r="H1449" i="3"/>
  <c r="G1449" i="3"/>
  <c r="I1449" i="3" s="1"/>
  <c r="F1449" i="3"/>
  <c r="H1448" i="3"/>
  <c r="G1448" i="3"/>
  <c r="I1448" i="3" s="1"/>
  <c r="F1448" i="3"/>
  <c r="H1447" i="3"/>
  <c r="G1447" i="3"/>
  <c r="I1447" i="3" s="1"/>
  <c r="F1447" i="3"/>
  <c r="I1443" i="3"/>
  <c r="B1443" i="3"/>
  <c r="A1440" i="3"/>
  <c r="H1437" i="3"/>
  <c r="H1436" i="3"/>
  <c r="H1429" i="3"/>
  <c r="G1429" i="3"/>
  <c r="I1429" i="3" s="1"/>
  <c r="E1429" i="3"/>
  <c r="I1428" i="3"/>
  <c r="H1428" i="3"/>
  <c r="G1428" i="3"/>
  <c r="F1428" i="3"/>
  <c r="E1428" i="3"/>
  <c r="I1424" i="3"/>
  <c r="I1423" i="3"/>
  <c r="I1422" i="3"/>
  <c r="I1421" i="3"/>
  <c r="I1420" i="3"/>
  <c r="I1419" i="3"/>
  <c r="I1418" i="3"/>
  <c r="I1417" i="3"/>
  <c r="I1416" i="3"/>
  <c r="F1415" i="3"/>
  <c r="I1415" i="3" s="1"/>
  <c r="E1415" i="3"/>
  <c r="G1411" i="3"/>
  <c r="I1411" i="3" s="1"/>
  <c r="F1411" i="3"/>
  <c r="H1410" i="3"/>
  <c r="G1410" i="3"/>
  <c r="I1410" i="3" s="1"/>
  <c r="F1410" i="3"/>
  <c r="I1409" i="3"/>
  <c r="H1409" i="3"/>
  <c r="G1409" i="3"/>
  <c r="F1409" i="3"/>
  <c r="H1408" i="3"/>
  <c r="G1408" i="3"/>
  <c r="I1408" i="3" s="1"/>
  <c r="F1408" i="3"/>
  <c r="I1404" i="3"/>
  <c r="B1404" i="3"/>
  <c r="A1401" i="3"/>
  <c r="H1398" i="3"/>
  <c r="H1397" i="3"/>
  <c r="F1397" i="3"/>
  <c r="H1390" i="3"/>
  <c r="G1390" i="3"/>
  <c r="I1390" i="3" s="1"/>
  <c r="E1390" i="3"/>
  <c r="H1389" i="3"/>
  <c r="G1389" i="3"/>
  <c r="F1389" i="3"/>
  <c r="E1389" i="3"/>
  <c r="I1385" i="3"/>
  <c r="I1384" i="3"/>
  <c r="F1384" i="3"/>
  <c r="E1384" i="3"/>
  <c r="F1383" i="3"/>
  <c r="I1383" i="3" s="1"/>
  <c r="E1383" i="3"/>
  <c r="F1382" i="3"/>
  <c r="I1382" i="3" s="1"/>
  <c r="E1382" i="3"/>
  <c r="F1381" i="3"/>
  <c r="I1381" i="3" s="1"/>
  <c r="E1381" i="3"/>
  <c r="F1380" i="3"/>
  <c r="I1380" i="3" s="1"/>
  <c r="E1380" i="3"/>
  <c r="F1379" i="3"/>
  <c r="I1379" i="3" s="1"/>
  <c r="E1379" i="3"/>
  <c r="F1378" i="3"/>
  <c r="I1378" i="3" s="1"/>
  <c r="E1378" i="3"/>
  <c r="I1377" i="3"/>
  <c r="F1377" i="3"/>
  <c r="E1377" i="3"/>
  <c r="I1376" i="3"/>
  <c r="F1376" i="3"/>
  <c r="E1376" i="3"/>
  <c r="G1372" i="3"/>
  <c r="I1372" i="3" s="1"/>
  <c r="F1372" i="3"/>
  <c r="H1371" i="3"/>
  <c r="I1371" i="3" s="1"/>
  <c r="G1371" i="3"/>
  <c r="F1371" i="3"/>
  <c r="H1370" i="3"/>
  <c r="G1370" i="3"/>
  <c r="I1370" i="3" s="1"/>
  <c r="F1370" i="3"/>
  <c r="H1369" i="3"/>
  <c r="I1369" i="3" s="1"/>
  <c r="G1369" i="3"/>
  <c r="F1369" i="3"/>
  <c r="I1365" i="3"/>
  <c r="B1365" i="3"/>
  <c r="A1362" i="3"/>
  <c r="H1358" i="3"/>
  <c r="H1359" i="3" s="1"/>
  <c r="I1351" i="3"/>
  <c r="H1351" i="3"/>
  <c r="G1351" i="3"/>
  <c r="E1351" i="3"/>
  <c r="H1350" i="3"/>
  <c r="G1350" i="3"/>
  <c r="F1350" i="3"/>
  <c r="E1350" i="3"/>
  <c r="I1346" i="3"/>
  <c r="I1345" i="3"/>
  <c r="F1345" i="3"/>
  <c r="E1345" i="3"/>
  <c r="F1344" i="3"/>
  <c r="I1344" i="3" s="1"/>
  <c r="E1344" i="3"/>
  <c r="F1343" i="3"/>
  <c r="I1343" i="3" s="1"/>
  <c r="E1343" i="3"/>
  <c r="F1342" i="3"/>
  <c r="I1342" i="3" s="1"/>
  <c r="E1342" i="3"/>
  <c r="F1341" i="3"/>
  <c r="I1341" i="3" s="1"/>
  <c r="E1341" i="3"/>
  <c r="F1340" i="3"/>
  <c r="I1340" i="3" s="1"/>
  <c r="E1340" i="3"/>
  <c r="I1339" i="3"/>
  <c r="F1339" i="3"/>
  <c r="E1339" i="3"/>
  <c r="I1338" i="3"/>
  <c r="F1338" i="3"/>
  <c r="E1338" i="3"/>
  <c r="F1337" i="3"/>
  <c r="I1337" i="3" s="1"/>
  <c r="E1337" i="3"/>
  <c r="I1336" i="3"/>
  <c r="F1336" i="3"/>
  <c r="E1336" i="3"/>
  <c r="F1335" i="3"/>
  <c r="I1335" i="3" s="1"/>
  <c r="E1335" i="3"/>
  <c r="G1331" i="3"/>
  <c r="I1331" i="3" s="1"/>
  <c r="F1331" i="3"/>
  <c r="I1330" i="3"/>
  <c r="H1330" i="3"/>
  <c r="G1330" i="3"/>
  <c r="F1330" i="3"/>
  <c r="H1329" i="3"/>
  <c r="G1329" i="3"/>
  <c r="I1329" i="3" s="1"/>
  <c r="F1329" i="3"/>
  <c r="I1328" i="3"/>
  <c r="H1328" i="3"/>
  <c r="G1328" i="3"/>
  <c r="F1328" i="3"/>
  <c r="I1324" i="3"/>
  <c r="B1324" i="3"/>
  <c r="A1321" i="3"/>
  <c r="H1318" i="3"/>
  <c r="F1318" i="3"/>
  <c r="G1318" i="3" s="1"/>
  <c r="I1318" i="3" s="1"/>
  <c r="E1318" i="3"/>
  <c r="H1317" i="3"/>
  <c r="F1317" i="3"/>
  <c r="F1316" i="3"/>
  <c r="E1316" i="3"/>
  <c r="H1310" i="3"/>
  <c r="G1310" i="3"/>
  <c r="I1310" i="3" s="1"/>
  <c r="J1313" i="3" s="1"/>
  <c r="E1310" i="3"/>
  <c r="I1309" i="3"/>
  <c r="H1309" i="3"/>
  <c r="G1309" i="3"/>
  <c r="E1309" i="3"/>
  <c r="I1305" i="3"/>
  <c r="F1303" i="3"/>
  <c r="I1303" i="3" s="1"/>
  <c r="E1303" i="3"/>
  <c r="I1302" i="3"/>
  <c r="F1302" i="3"/>
  <c r="E1302" i="3"/>
  <c r="F1301" i="3"/>
  <c r="I1301" i="3" s="1"/>
  <c r="E1301" i="3"/>
  <c r="F1300" i="3"/>
  <c r="I1300" i="3" s="1"/>
  <c r="E1300" i="3"/>
  <c r="I1299" i="3"/>
  <c r="F1299" i="3"/>
  <c r="E1299" i="3"/>
  <c r="I1298" i="3"/>
  <c r="F1298" i="3"/>
  <c r="E1298" i="3"/>
  <c r="F1297" i="3"/>
  <c r="I1297" i="3" s="1"/>
  <c r="E1297" i="3"/>
  <c r="I1296" i="3"/>
  <c r="F1296" i="3"/>
  <c r="E1296" i="3"/>
  <c r="F1295" i="3"/>
  <c r="I1295" i="3" s="1"/>
  <c r="E1295" i="3"/>
  <c r="F1294" i="3"/>
  <c r="I1294" i="3" s="1"/>
  <c r="J1306" i="3" s="1"/>
  <c r="E1294" i="3"/>
  <c r="I1290" i="3"/>
  <c r="G1290" i="3"/>
  <c r="F1290" i="3"/>
  <c r="H1289" i="3"/>
  <c r="G1289" i="3"/>
  <c r="I1289" i="3" s="1"/>
  <c r="F1289" i="3"/>
  <c r="H1288" i="3"/>
  <c r="G1288" i="3"/>
  <c r="I1288" i="3" s="1"/>
  <c r="F1288" i="3"/>
  <c r="H1287" i="3"/>
  <c r="G1287" i="3"/>
  <c r="I1287" i="3" s="1"/>
  <c r="F1287" i="3"/>
  <c r="I1283" i="3"/>
  <c r="B1283" i="3"/>
  <c r="A1280" i="3"/>
  <c r="H1277" i="3"/>
  <c r="F1277" i="3"/>
  <c r="G1277" i="3" s="1"/>
  <c r="I1277" i="3" s="1"/>
  <c r="E1277" i="3"/>
  <c r="H1276" i="3"/>
  <c r="F1276" i="3"/>
  <c r="E1276" i="3"/>
  <c r="G1276" i="3" s="1"/>
  <c r="I1276" i="3" s="1"/>
  <c r="F1275" i="3"/>
  <c r="G1275" i="3" s="1"/>
  <c r="I1275" i="3" s="1"/>
  <c r="J1279" i="3" s="1"/>
  <c r="I1241" i="3" s="1"/>
  <c r="E1275" i="3"/>
  <c r="H1269" i="3"/>
  <c r="I1269" i="3" s="1"/>
  <c r="G1269" i="3"/>
  <c r="E1269" i="3"/>
  <c r="H1268" i="3"/>
  <c r="G1268" i="3"/>
  <c r="F1268" i="3"/>
  <c r="E1268" i="3"/>
  <c r="I1264" i="3"/>
  <c r="F1262" i="3"/>
  <c r="I1262" i="3" s="1"/>
  <c r="E1262" i="3"/>
  <c r="I1261" i="3"/>
  <c r="F1261" i="3"/>
  <c r="E1261" i="3"/>
  <c r="F1260" i="3"/>
  <c r="I1260" i="3" s="1"/>
  <c r="E1260" i="3"/>
  <c r="F1259" i="3"/>
  <c r="I1259" i="3" s="1"/>
  <c r="E1259" i="3"/>
  <c r="F1258" i="3"/>
  <c r="I1258" i="3" s="1"/>
  <c r="E1258" i="3"/>
  <c r="I1257" i="3"/>
  <c r="F1257" i="3"/>
  <c r="E1257" i="3"/>
  <c r="F1256" i="3"/>
  <c r="I1256" i="3" s="1"/>
  <c r="E1256" i="3"/>
  <c r="F1255" i="3"/>
  <c r="I1255" i="3" s="1"/>
  <c r="E1255" i="3"/>
  <c r="F1254" i="3"/>
  <c r="I1254" i="3" s="1"/>
  <c r="E1254" i="3"/>
  <c r="F1253" i="3"/>
  <c r="I1253" i="3" s="1"/>
  <c r="E1253" i="3"/>
  <c r="F1252" i="3"/>
  <c r="I1252" i="3" s="1"/>
  <c r="E1252" i="3"/>
  <c r="F1251" i="3"/>
  <c r="I1251" i="3" s="1"/>
  <c r="E1251" i="3"/>
  <c r="F1250" i="3"/>
  <c r="I1250" i="3" s="1"/>
  <c r="E1250" i="3"/>
  <c r="I1249" i="3"/>
  <c r="F1249" i="3"/>
  <c r="E1249" i="3"/>
  <c r="G1245" i="3"/>
  <c r="I1245" i="3" s="1"/>
  <c r="F1245" i="3"/>
  <c r="H1244" i="3"/>
  <c r="I1244" i="3" s="1"/>
  <c r="G1244" i="3"/>
  <c r="F1244" i="3"/>
  <c r="H1243" i="3"/>
  <c r="G1243" i="3"/>
  <c r="I1243" i="3" s="1"/>
  <c r="F1243" i="3"/>
  <c r="H1242" i="3"/>
  <c r="I1242" i="3" s="1"/>
  <c r="G1242" i="3"/>
  <c r="F1242" i="3"/>
  <c r="I1238" i="3"/>
  <c r="B1238" i="3"/>
  <c r="A1235" i="3"/>
  <c r="H1232" i="3"/>
  <c r="G1232" i="3"/>
  <c r="I1232" i="3" s="1"/>
  <c r="F1232" i="3"/>
  <c r="E1232" i="3"/>
  <c r="H1231" i="3"/>
  <c r="F1230" i="3"/>
  <c r="H1224" i="3"/>
  <c r="G1224" i="3"/>
  <c r="I1224" i="3" s="1"/>
  <c r="E1224" i="3"/>
  <c r="I1223" i="3"/>
  <c r="J1227" i="3" s="1"/>
  <c r="H1223" i="3"/>
  <c r="G1223" i="3"/>
  <c r="F1223" i="3"/>
  <c r="E1223" i="3"/>
  <c r="I1219" i="3"/>
  <c r="F1217" i="3"/>
  <c r="I1217" i="3" s="1"/>
  <c r="E1217" i="3"/>
  <c r="F1216" i="3"/>
  <c r="I1216" i="3" s="1"/>
  <c r="E1216" i="3"/>
  <c r="F1215" i="3"/>
  <c r="I1215" i="3" s="1"/>
  <c r="E1215" i="3"/>
  <c r="F1214" i="3"/>
  <c r="I1214" i="3" s="1"/>
  <c r="E1214" i="3"/>
  <c r="F1213" i="3"/>
  <c r="I1213" i="3" s="1"/>
  <c r="E1213" i="3"/>
  <c r="F1212" i="3"/>
  <c r="I1212" i="3" s="1"/>
  <c r="E1212" i="3"/>
  <c r="F1211" i="3"/>
  <c r="I1211" i="3" s="1"/>
  <c r="E1211" i="3"/>
  <c r="I1210" i="3"/>
  <c r="F1210" i="3"/>
  <c r="E1210" i="3"/>
  <c r="F1209" i="3"/>
  <c r="I1209" i="3" s="1"/>
  <c r="E1209" i="3"/>
  <c r="F1208" i="3"/>
  <c r="I1208" i="3" s="1"/>
  <c r="E1208" i="3"/>
  <c r="F1207" i="3"/>
  <c r="I1207" i="3" s="1"/>
  <c r="E1207" i="3"/>
  <c r="I1203" i="3"/>
  <c r="G1203" i="3"/>
  <c r="F1203" i="3"/>
  <c r="H1202" i="3"/>
  <c r="G1202" i="3"/>
  <c r="I1202" i="3" s="1"/>
  <c r="F1202" i="3"/>
  <c r="H1201" i="3"/>
  <c r="G1201" i="3"/>
  <c r="F1201" i="3"/>
  <c r="I1200" i="3"/>
  <c r="H1200" i="3"/>
  <c r="G1200" i="3"/>
  <c r="F1200" i="3"/>
  <c r="I1196" i="3"/>
  <c r="B1196" i="3"/>
  <c r="A1193" i="3"/>
  <c r="H1190" i="3"/>
  <c r="F1190" i="3"/>
  <c r="G1190" i="3" s="1"/>
  <c r="I1190" i="3" s="1"/>
  <c r="E1190" i="3"/>
  <c r="H1189" i="3"/>
  <c r="F1188" i="3"/>
  <c r="H1182" i="3"/>
  <c r="G1182" i="3"/>
  <c r="E1182" i="3"/>
  <c r="H1181" i="3"/>
  <c r="G1181" i="3"/>
  <c r="I1181" i="3" s="1"/>
  <c r="F1181" i="3"/>
  <c r="E1181" i="3"/>
  <c r="I1177" i="3"/>
  <c r="F1175" i="3"/>
  <c r="I1175" i="3" s="1"/>
  <c r="E1175" i="3"/>
  <c r="F1174" i="3"/>
  <c r="I1174" i="3" s="1"/>
  <c r="E1174" i="3"/>
  <c r="I1173" i="3"/>
  <c r="F1173" i="3"/>
  <c r="E1173" i="3"/>
  <c r="I1172" i="3"/>
  <c r="F1172" i="3"/>
  <c r="E1172" i="3"/>
  <c r="I1171" i="3"/>
  <c r="F1171" i="3"/>
  <c r="E1171" i="3"/>
  <c r="F1170" i="3"/>
  <c r="I1170" i="3" s="1"/>
  <c r="E1170" i="3"/>
  <c r="F1169" i="3"/>
  <c r="I1169" i="3" s="1"/>
  <c r="E1169" i="3"/>
  <c r="F1168" i="3"/>
  <c r="I1168" i="3" s="1"/>
  <c r="E1168" i="3"/>
  <c r="F1167" i="3"/>
  <c r="I1167" i="3" s="1"/>
  <c r="E1167" i="3"/>
  <c r="F1166" i="3"/>
  <c r="I1166" i="3" s="1"/>
  <c r="E1166" i="3"/>
  <c r="F1165" i="3"/>
  <c r="I1165" i="3" s="1"/>
  <c r="E1165" i="3"/>
  <c r="G1161" i="3"/>
  <c r="I1161" i="3" s="1"/>
  <c r="F1161" i="3"/>
  <c r="H1160" i="3"/>
  <c r="G1160" i="3"/>
  <c r="I1160" i="3" s="1"/>
  <c r="F1160" i="3"/>
  <c r="H1159" i="3"/>
  <c r="G1159" i="3"/>
  <c r="I1159" i="3" s="1"/>
  <c r="F1159" i="3"/>
  <c r="H1158" i="3"/>
  <c r="G1158" i="3"/>
  <c r="I1158" i="3" s="1"/>
  <c r="F1158" i="3"/>
  <c r="I1154" i="3"/>
  <c r="B1154" i="3"/>
  <c r="A1151" i="3"/>
  <c r="H1148" i="3"/>
  <c r="F1148" i="3"/>
  <c r="G1148" i="3" s="1"/>
  <c r="I1148" i="3" s="1"/>
  <c r="E1148" i="3"/>
  <c r="H1147" i="3"/>
  <c r="H1140" i="3"/>
  <c r="G1140" i="3"/>
  <c r="I1140" i="3" s="1"/>
  <c r="E1140" i="3"/>
  <c r="H1139" i="3"/>
  <c r="G1139" i="3"/>
  <c r="I1139" i="3" s="1"/>
  <c r="J1143" i="3" s="1"/>
  <c r="F1139" i="3"/>
  <c r="E1139" i="3"/>
  <c r="I1135" i="3"/>
  <c r="I1133" i="3"/>
  <c r="F1133" i="3"/>
  <c r="E1133" i="3"/>
  <c r="I1132" i="3"/>
  <c r="F1132" i="3"/>
  <c r="E1132" i="3"/>
  <c r="F1131" i="3"/>
  <c r="I1131" i="3" s="1"/>
  <c r="E1131" i="3"/>
  <c r="I1130" i="3"/>
  <c r="F1130" i="3"/>
  <c r="E1130" i="3"/>
  <c r="F1129" i="3"/>
  <c r="I1129" i="3" s="1"/>
  <c r="E1129" i="3"/>
  <c r="F1128" i="3"/>
  <c r="I1128" i="3" s="1"/>
  <c r="E1128" i="3"/>
  <c r="F1127" i="3"/>
  <c r="I1127" i="3" s="1"/>
  <c r="E1127" i="3"/>
  <c r="I1126" i="3"/>
  <c r="F1126" i="3"/>
  <c r="E1126" i="3"/>
  <c r="F1125" i="3"/>
  <c r="I1125" i="3" s="1"/>
  <c r="E1125" i="3"/>
  <c r="I1124" i="3"/>
  <c r="F1124" i="3"/>
  <c r="E1124" i="3"/>
  <c r="F1123" i="3"/>
  <c r="I1123" i="3" s="1"/>
  <c r="E1123" i="3"/>
  <c r="G1119" i="3"/>
  <c r="I1119" i="3" s="1"/>
  <c r="F1119" i="3"/>
  <c r="H1118" i="3"/>
  <c r="I1118" i="3" s="1"/>
  <c r="G1118" i="3"/>
  <c r="F1118" i="3"/>
  <c r="H1117" i="3"/>
  <c r="G1117" i="3"/>
  <c r="I1117" i="3" s="1"/>
  <c r="F1117" i="3"/>
  <c r="H1116" i="3"/>
  <c r="G1116" i="3"/>
  <c r="I1116" i="3" s="1"/>
  <c r="F1116" i="3"/>
  <c r="I1112" i="3"/>
  <c r="B1112" i="3"/>
  <c r="A1109" i="3"/>
  <c r="H1106" i="3"/>
  <c r="F1106" i="3"/>
  <c r="G1106" i="3" s="1"/>
  <c r="I1106" i="3" s="1"/>
  <c r="E1106" i="3"/>
  <c r="H1105" i="3"/>
  <c r="E1105" i="3"/>
  <c r="F1104" i="3"/>
  <c r="H1098" i="3"/>
  <c r="G1098" i="3"/>
  <c r="I1098" i="3" s="1"/>
  <c r="J1101" i="3" s="1"/>
  <c r="E1098" i="3"/>
  <c r="H1097" i="3"/>
  <c r="I1097" i="3" s="1"/>
  <c r="G1097" i="3"/>
  <c r="F1097" i="3"/>
  <c r="E1097" i="3"/>
  <c r="I1093" i="3"/>
  <c r="F1091" i="3"/>
  <c r="I1091" i="3" s="1"/>
  <c r="E1091" i="3"/>
  <c r="F1090" i="3"/>
  <c r="I1090" i="3" s="1"/>
  <c r="E1090" i="3"/>
  <c r="I1089" i="3"/>
  <c r="F1089" i="3"/>
  <c r="E1089" i="3"/>
  <c r="I1088" i="3"/>
  <c r="F1088" i="3"/>
  <c r="E1088" i="3"/>
  <c r="F1087" i="3"/>
  <c r="I1087" i="3" s="1"/>
  <c r="E1087" i="3"/>
  <c r="F1086" i="3"/>
  <c r="I1086" i="3" s="1"/>
  <c r="E1086" i="3"/>
  <c r="I1085" i="3"/>
  <c r="F1085" i="3"/>
  <c r="E1085" i="3"/>
  <c r="F1084" i="3"/>
  <c r="I1084" i="3" s="1"/>
  <c r="E1084" i="3"/>
  <c r="I1083" i="3"/>
  <c r="F1083" i="3"/>
  <c r="E1083" i="3"/>
  <c r="F1082" i="3"/>
  <c r="I1082" i="3" s="1"/>
  <c r="E1082" i="3"/>
  <c r="F1081" i="3"/>
  <c r="I1081" i="3" s="1"/>
  <c r="E1081" i="3"/>
  <c r="I1077" i="3"/>
  <c r="G1077" i="3"/>
  <c r="F1077" i="3"/>
  <c r="H1076" i="3"/>
  <c r="G1076" i="3"/>
  <c r="I1076" i="3" s="1"/>
  <c r="F1076" i="3"/>
  <c r="H1075" i="3"/>
  <c r="I1075" i="3" s="1"/>
  <c r="G1075" i="3"/>
  <c r="F1075" i="3"/>
  <c r="H1074" i="3"/>
  <c r="G1074" i="3"/>
  <c r="I1074" i="3" s="1"/>
  <c r="F1074" i="3"/>
  <c r="I1070" i="3"/>
  <c r="B1070" i="3"/>
  <c r="A1067" i="3"/>
  <c r="H1064" i="3"/>
  <c r="F1064" i="3"/>
  <c r="G1064" i="3" s="1"/>
  <c r="I1064" i="3" s="1"/>
  <c r="E1064" i="3"/>
  <c r="H1063" i="3"/>
  <c r="F1063" i="3"/>
  <c r="E1063" i="3"/>
  <c r="H1056" i="3"/>
  <c r="G1056" i="3"/>
  <c r="I1056" i="3" s="1"/>
  <c r="E1056" i="3"/>
  <c r="I1055" i="3"/>
  <c r="H1055" i="3"/>
  <c r="G1055" i="3"/>
  <c r="F1055" i="3"/>
  <c r="E1055" i="3"/>
  <c r="I1051" i="3"/>
  <c r="I1049" i="3"/>
  <c r="F1049" i="3"/>
  <c r="E1049" i="3"/>
  <c r="F1048" i="3"/>
  <c r="I1048" i="3" s="1"/>
  <c r="E1048" i="3"/>
  <c r="F1047" i="3"/>
  <c r="I1047" i="3" s="1"/>
  <c r="E1047" i="3"/>
  <c r="I1046" i="3"/>
  <c r="F1046" i="3"/>
  <c r="E1046" i="3"/>
  <c r="F1045" i="3"/>
  <c r="I1045" i="3" s="1"/>
  <c r="E1045" i="3"/>
  <c r="F1044" i="3"/>
  <c r="I1044" i="3" s="1"/>
  <c r="E1044" i="3"/>
  <c r="F1043" i="3"/>
  <c r="I1043" i="3" s="1"/>
  <c r="E1043" i="3"/>
  <c r="F1042" i="3"/>
  <c r="I1042" i="3" s="1"/>
  <c r="E1042" i="3"/>
  <c r="F1041" i="3"/>
  <c r="I1041" i="3" s="1"/>
  <c r="E1041" i="3"/>
  <c r="F1040" i="3"/>
  <c r="I1040" i="3" s="1"/>
  <c r="E1040" i="3"/>
  <c r="F1039" i="3"/>
  <c r="I1039" i="3" s="1"/>
  <c r="J1052" i="3" s="1"/>
  <c r="E1039" i="3"/>
  <c r="G1035" i="3"/>
  <c r="I1035" i="3" s="1"/>
  <c r="F1035" i="3"/>
  <c r="H1034" i="3"/>
  <c r="I1034" i="3" s="1"/>
  <c r="G1034" i="3"/>
  <c r="F1034" i="3"/>
  <c r="I1033" i="3"/>
  <c r="H1033" i="3"/>
  <c r="G1033" i="3"/>
  <c r="F1033" i="3"/>
  <c r="H1032" i="3"/>
  <c r="G1032" i="3"/>
  <c r="I1032" i="3" s="1"/>
  <c r="F1032" i="3"/>
  <c r="I1028" i="3"/>
  <c r="B1028" i="3"/>
  <c r="A1025" i="3"/>
  <c r="H1022" i="3"/>
  <c r="I1022" i="3" s="1"/>
  <c r="G1022" i="3"/>
  <c r="F1022" i="3"/>
  <c r="E1022" i="3"/>
  <c r="H1021" i="3"/>
  <c r="F1021" i="3"/>
  <c r="F1020" i="3"/>
  <c r="G1020" i="3" s="1"/>
  <c r="I1020" i="3" s="1"/>
  <c r="E1020" i="3"/>
  <c r="H1014" i="3"/>
  <c r="G1014" i="3"/>
  <c r="I1014" i="3" s="1"/>
  <c r="J1017" i="3" s="1"/>
  <c r="E1014" i="3"/>
  <c r="H1013" i="3"/>
  <c r="G1013" i="3"/>
  <c r="I1013" i="3" s="1"/>
  <c r="F1013" i="3"/>
  <c r="E1013" i="3"/>
  <c r="I1009" i="3"/>
  <c r="I1007" i="3"/>
  <c r="F1007" i="3"/>
  <c r="E1007" i="3"/>
  <c r="F1006" i="3"/>
  <c r="I1006" i="3" s="1"/>
  <c r="E1006" i="3"/>
  <c r="F1005" i="3"/>
  <c r="I1005" i="3" s="1"/>
  <c r="E1005" i="3"/>
  <c r="F1004" i="3"/>
  <c r="I1004" i="3" s="1"/>
  <c r="E1004" i="3"/>
  <c r="F1003" i="3"/>
  <c r="I1003" i="3" s="1"/>
  <c r="E1003" i="3"/>
  <c r="F1002" i="3"/>
  <c r="I1002" i="3" s="1"/>
  <c r="E1002" i="3"/>
  <c r="I1001" i="3"/>
  <c r="F1001" i="3"/>
  <c r="E1001" i="3"/>
  <c r="F1000" i="3"/>
  <c r="I1000" i="3" s="1"/>
  <c r="E1000" i="3"/>
  <c r="I999" i="3"/>
  <c r="F999" i="3"/>
  <c r="E999" i="3"/>
  <c r="F998" i="3"/>
  <c r="I998" i="3" s="1"/>
  <c r="E998" i="3"/>
  <c r="F997" i="3"/>
  <c r="I997" i="3" s="1"/>
  <c r="E997" i="3"/>
  <c r="G993" i="3"/>
  <c r="I993" i="3" s="1"/>
  <c r="F993" i="3"/>
  <c r="H992" i="3"/>
  <c r="G992" i="3"/>
  <c r="I992" i="3" s="1"/>
  <c r="F992" i="3"/>
  <c r="H991" i="3"/>
  <c r="G991" i="3"/>
  <c r="I991" i="3" s="1"/>
  <c r="F991" i="3"/>
  <c r="I990" i="3"/>
  <c r="H990" i="3"/>
  <c r="G990" i="3"/>
  <c r="F990" i="3"/>
  <c r="I986" i="3"/>
  <c r="B986" i="3"/>
  <c r="A983" i="3"/>
  <c r="H979" i="3"/>
  <c r="H980" i="3" s="1"/>
  <c r="F979" i="3"/>
  <c r="E979" i="3"/>
  <c r="F978" i="3"/>
  <c r="H972" i="3"/>
  <c r="G972" i="3"/>
  <c r="I972" i="3" s="1"/>
  <c r="E972" i="3"/>
  <c r="H971" i="3"/>
  <c r="G971" i="3"/>
  <c r="I971" i="3" s="1"/>
  <c r="E971" i="3"/>
  <c r="I967" i="3"/>
  <c r="I965" i="3"/>
  <c r="F965" i="3"/>
  <c r="E965" i="3"/>
  <c r="F964" i="3"/>
  <c r="I964" i="3" s="1"/>
  <c r="E964" i="3"/>
  <c r="I963" i="3"/>
  <c r="F963" i="3"/>
  <c r="E963" i="3"/>
  <c r="F962" i="3"/>
  <c r="I962" i="3" s="1"/>
  <c r="E962" i="3"/>
  <c r="F961" i="3"/>
  <c r="I961" i="3" s="1"/>
  <c r="E961" i="3"/>
  <c r="F960" i="3"/>
  <c r="I960" i="3" s="1"/>
  <c r="E960" i="3"/>
  <c r="I959" i="3"/>
  <c r="F959" i="3"/>
  <c r="E959" i="3"/>
  <c r="F958" i="3"/>
  <c r="I958" i="3" s="1"/>
  <c r="E958" i="3"/>
  <c r="I957" i="3"/>
  <c r="G957" i="3"/>
  <c r="F957" i="3"/>
  <c r="E957" i="3"/>
  <c r="F956" i="3"/>
  <c r="I956" i="3" s="1"/>
  <c r="E956" i="3"/>
  <c r="I955" i="3"/>
  <c r="J968" i="3" s="1"/>
  <c r="G955" i="3"/>
  <c r="F955" i="3"/>
  <c r="E955" i="3"/>
  <c r="G951" i="3"/>
  <c r="I951" i="3" s="1"/>
  <c r="F951" i="3"/>
  <c r="I950" i="3"/>
  <c r="H950" i="3"/>
  <c r="G950" i="3"/>
  <c r="F950" i="3"/>
  <c r="H949" i="3"/>
  <c r="G949" i="3"/>
  <c r="I949" i="3" s="1"/>
  <c r="F949" i="3"/>
  <c r="H948" i="3"/>
  <c r="I948" i="3" s="1"/>
  <c r="G948" i="3"/>
  <c r="F948" i="3"/>
  <c r="I944" i="3"/>
  <c r="B944" i="3"/>
  <c r="A941" i="3"/>
  <c r="H937" i="3"/>
  <c r="H938" i="3" s="1"/>
  <c r="F936" i="3"/>
  <c r="I930" i="3"/>
  <c r="H930" i="3"/>
  <c r="G930" i="3"/>
  <c r="E930" i="3"/>
  <c r="H929" i="3"/>
  <c r="G929" i="3"/>
  <c r="I929" i="3" s="1"/>
  <c r="J933" i="3" s="1"/>
  <c r="E929" i="3"/>
  <c r="F925" i="3"/>
  <c r="I925" i="3" s="1"/>
  <c r="E925" i="3"/>
  <c r="G924" i="3"/>
  <c r="F924" i="3"/>
  <c r="I924" i="3" s="1"/>
  <c r="E924" i="3"/>
  <c r="I923" i="3"/>
  <c r="F923" i="3"/>
  <c r="E923" i="3"/>
  <c r="F922" i="3"/>
  <c r="I922" i="3" s="1"/>
  <c r="E922" i="3"/>
  <c r="F921" i="3"/>
  <c r="I921" i="3" s="1"/>
  <c r="J926" i="3" s="1"/>
  <c r="E921" i="3"/>
  <c r="G915" i="3"/>
  <c r="I915" i="3" s="1"/>
  <c r="F915" i="3"/>
  <c r="G914" i="3"/>
  <c r="I914" i="3" s="1"/>
  <c r="F914" i="3"/>
  <c r="L910" i="3"/>
  <c r="I910" i="3"/>
  <c r="B910" i="3"/>
  <c r="A907" i="3"/>
  <c r="G904" i="3"/>
  <c r="I904" i="3" s="1"/>
  <c r="F904" i="3"/>
  <c r="E904" i="3"/>
  <c r="H903" i="3"/>
  <c r="F903" i="3"/>
  <c r="H896" i="3"/>
  <c r="I896" i="3" s="1"/>
  <c r="G896" i="3"/>
  <c r="E896" i="3"/>
  <c r="H895" i="3"/>
  <c r="G895" i="3"/>
  <c r="I895" i="3" s="1"/>
  <c r="J899" i="3" s="1"/>
  <c r="E895" i="3"/>
  <c r="F891" i="3"/>
  <c r="I891" i="3" s="1"/>
  <c r="E891" i="3"/>
  <c r="F890" i="3"/>
  <c r="I890" i="3" s="1"/>
  <c r="E890" i="3"/>
  <c r="F889" i="3"/>
  <c r="I889" i="3" s="1"/>
  <c r="E889" i="3"/>
  <c r="F888" i="3"/>
  <c r="I888" i="3" s="1"/>
  <c r="E888" i="3"/>
  <c r="G887" i="3"/>
  <c r="F887" i="3"/>
  <c r="I887" i="3" s="1"/>
  <c r="E887" i="3"/>
  <c r="F886" i="3"/>
  <c r="I886" i="3" s="1"/>
  <c r="J892" i="3" s="1"/>
  <c r="E886" i="3"/>
  <c r="H881" i="3"/>
  <c r="H880" i="3"/>
  <c r="G880" i="3"/>
  <c r="I880" i="3" s="1"/>
  <c r="F880" i="3"/>
  <c r="H879" i="3"/>
  <c r="I879" i="3" s="1"/>
  <c r="G879" i="3"/>
  <c r="F879" i="3"/>
  <c r="L875" i="3"/>
  <c r="I875" i="3"/>
  <c r="B875" i="3"/>
  <c r="A872" i="3"/>
  <c r="F869" i="3"/>
  <c r="E869" i="3"/>
  <c r="H868" i="3"/>
  <c r="F867" i="3"/>
  <c r="I861" i="3"/>
  <c r="H861" i="3"/>
  <c r="G861" i="3"/>
  <c r="E861" i="3"/>
  <c r="H860" i="3"/>
  <c r="G860" i="3"/>
  <c r="I860" i="3" s="1"/>
  <c r="J864" i="3" s="1"/>
  <c r="E860" i="3"/>
  <c r="F856" i="3"/>
  <c r="I856" i="3" s="1"/>
  <c r="E856" i="3"/>
  <c r="F855" i="3"/>
  <c r="I855" i="3" s="1"/>
  <c r="E855" i="3"/>
  <c r="F854" i="3"/>
  <c r="I854" i="3" s="1"/>
  <c r="E854" i="3"/>
  <c r="F853" i="3"/>
  <c r="I853" i="3" s="1"/>
  <c r="E853" i="3"/>
  <c r="F852" i="3"/>
  <c r="I852" i="3" s="1"/>
  <c r="E852" i="3"/>
  <c r="I851" i="3"/>
  <c r="J857" i="3" s="1"/>
  <c r="F851" i="3"/>
  <c r="E851" i="3"/>
  <c r="H846" i="3"/>
  <c r="H845" i="3"/>
  <c r="G845" i="3"/>
  <c r="I845" i="3" s="1"/>
  <c r="F845" i="3"/>
  <c r="H844" i="3"/>
  <c r="G844" i="3"/>
  <c r="I844" i="3" s="1"/>
  <c r="F844" i="3"/>
  <c r="L840" i="3"/>
  <c r="I840" i="3"/>
  <c r="B840" i="3"/>
  <c r="A837" i="3"/>
  <c r="G834" i="3"/>
  <c r="I834" i="3" s="1"/>
  <c r="F834" i="3"/>
  <c r="E834" i="3"/>
  <c r="H833" i="3"/>
  <c r="F832" i="3"/>
  <c r="E832" i="3"/>
  <c r="H826" i="3"/>
  <c r="I826" i="3" s="1"/>
  <c r="G826" i="3"/>
  <c r="E826" i="3"/>
  <c r="I825" i="3"/>
  <c r="H825" i="3"/>
  <c r="G825" i="3"/>
  <c r="E825" i="3"/>
  <c r="F821" i="3"/>
  <c r="I821" i="3" s="1"/>
  <c r="E821" i="3"/>
  <c r="F820" i="3"/>
  <c r="I820" i="3" s="1"/>
  <c r="E820" i="3"/>
  <c r="F819" i="3"/>
  <c r="I819" i="3" s="1"/>
  <c r="E819" i="3"/>
  <c r="F818" i="3"/>
  <c r="I818" i="3" s="1"/>
  <c r="E818" i="3"/>
  <c r="I817" i="3"/>
  <c r="F817" i="3"/>
  <c r="E817" i="3"/>
  <c r="H812" i="3"/>
  <c r="I811" i="3"/>
  <c r="H811" i="3"/>
  <c r="G811" i="3"/>
  <c r="F811" i="3"/>
  <c r="H810" i="3"/>
  <c r="G810" i="3"/>
  <c r="I810" i="3" s="1"/>
  <c r="F810" i="3"/>
  <c r="L806" i="3"/>
  <c r="I806" i="3"/>
  <c r="B806" i="3"/>
  <c r="G800" i="3"/>
  <c r="I800" i="3" s="1"/>
  <c r="F800" i="3"/>
  <c r="E800" i="3"/>
  <c r="H799" i="3"/>
  <c r="F799" i="3"/>
  <c r="F798" i="3"/>
  <c r="H792" i="3"/>
  <c r="G792" i="3"/>
  <c r="I792" i="3" s="1"/>
  <c r="E792" i="3"/>
  <c r="H791" i="3"/>
  <c r="G791" i="3"/>
  <c r="I791" i="3" s="1"/>
  <c r="J795" i="3" s="1"/>
  <c r="F791" i="3"/>
  <c r="E791" i="3"/>
  <c r="F787" i="3"/>
  <c r="I787" i="3" s="1"/>
  <c r="E787" i="3"/>
  <c r="F786" i="3"/>
  <c r="I786" i="3" s="1"/>
  <c r="E786" i="3"/>
  <c r="F785" i="3"/>
  <c r="I785" i="3" s="1"/>
  <c r="E785" i="3"/>
  <c r="F784" i="3"/>
  <c r="I784" i="3" s="1"/>
  <c r="E784" i="3"/>
  <c r="F783" i="3"/>
  <c r="I783" i="3" s="1"/>
  <c r="J788" i="3" s="1"/>
  <c r="E783" i="3"/>
  <c r="H778" i="3"/>
  <c r="H777" i="3"/>
  <c r="G777" i="3"/>
  <c r="I777" i="3" s="1"/>
  <c r="F777" i="3"/>
  <c r="I776" i="3"/>
  <c r="H776" i="3"/>
  <c r="G776" i="3"/>
  <c r="F776" i="3"/>
  <c r="L772" i="3"/>
  <c r="I772" i="3"/>
  <c r="B772" i="3"/>
  <c r="F766" i="3"/>
  <c r="G766" i="3" s="1"/>
  <c r="I766" i="3" s="1"/>
  <c r="E766" i="3"/>
  <c r="H765" i="3"/>
  <c r="F764" i="3"/>
  <c r="E764" i="3"/>
  <c r="H758" i="3"/>
  <c r="G758" i="3"/>
  <c r="I758" i="3" s="1"/>
  <c r="J761" i="3" s="1"/>
  <c r="E758" i="3"/>
  <c r="I757" i="3"/>
  <c r="H757" i="3"/>
  <c r="G757" i="3"/>
  <c r="E757" i="3"/>
  <c r="F753" i="3"/>
  <c r="I753" i="3" s="1"/>
  <c r="E753" i="3"/>
  <c r="F752" i="3"/>
  <c r="I752" i="3" s="1"/>
  <c r="E752" i="3"/>
  <c r="I751" i="3"/>
  <c r="F751" i="3"/>
  <c r="E751" i="3"/>
  <c r="F750" i="3"/>
  <c r="I750" i="3" s="1"/>
  <c r="E750" i="3"/>
  <c r="I749" i="3"/>
  <c r="F749" i="3"/>
  <c r="E749" i="3"/>
  <c r="H744" i="3"/>
  <c r="H743" i="3"/>
  <c r="G743" i="3"/>
  <c r="I743" i="3" s="1"/>
  <c r="F743" i="3"/>
  <c r="H742" i="3"/>
  <c r="I742" i="3" s="1"/>
  <c r="G742" i="3"/>
  <c r="F742" i="3"/>
  <c r="L738" i="3"/>
  <c r="I738" i="3"/>
  <c r="B738" i="3"/>
  <c r="A735" i="3"/>
  <c r="G732" i="3"/>
  <c r="I732" i="3" s="1"/>
  <c r="F732" i="3"/>
  <c r="E732" i="3"/>
  <c r="H731" i="3"/>
  <c r="J727" i="3"/>
  <c r="I724" i="3"/>
  <c r="H724" i="3"/>
  <c r="G724" i="3"/>
  <c r="E724" i="3"/>
  <c r="I723" i="3"/>
  <c r="H723" i="3"/>
  <c r="G723" i="3"/>
  <c r="E723" i="3"/>
  <c r="F719" i="3"/>
  <c r="I719" i="3" s="1"/>
  <c r="E719" i="3"/>
  <c r="F718" i="3"/>
  <c r="I718" i="3" s="1"/>
  <c r="E718" i="3"/>
  <c r="F717" i="3"/>
  <c r="I717" i="3" s="1"/>
  <c r="E717" i="3"/>
  <c r="F716" i="3"/>
  <c r="I716" i="3" s="1"/>
  <c r="E716" i="3"/>
  <c r="F715" i="3"/>
  <c r="I715" i="3" s="1"/>
  <c r="E715" i="3"/>
  <c r="H710" i="3"/>
  <c r="H709" i="3"/>
  <c r="G709" i="3"/>
  <c r="I709" i="3" s="1"/>
  <c r="F709" i="3"/>
  <c r="H708" i="3"/>
  <c r="G708" i="3"/>
  <c r="I708" i="3" s="1"/>
  <c r="F708" i="3"/>
  <c r="L704" i="3"/>
  <c r="I704" i="3"/>
  <c r="B704" i="3"/>
  <c r="A701" i="3"/>
  <c r="H698" i="3"/>
  <c r="F698" i="3"/>
  <c r="G698" i="3" s="1"/>
  <c r="I698" i="3" s="1"/>
  <c r="E698" i="3"/>
  <c r="H697" i="3"/>
  <c r="F696" i="3"/>
  <c r="H690" i="3"/>
  <c r="G690" i="3"/>
  <c r="I690" i="3" s="1"/>
  <c r="J693" i="3" s="1"/>
  <c r="E690" i="3"/>
  <c r="I689" i="3"/>
  <c r="H689" i="3"/>
  <c r="G689" i="3"/>
  <c r="E689" i="3"/>
  <c r="I685" i="3"/>
  <c r="F683" i="3"/>
  <c r="I683" i="3" s="1"/>
  <c r="E683" i="3"/>
  <c r="I682" i="3"/>
  <c r="F682" i="3"/>
  <c r="E682" i="3"/>
  <c r="I681" i="3"/>
  <c r="F681" i="3"/>
  <c r="E681" i="3"/>
  <c r="I680" i="3"/>
  <c r="F680" i="3"/>
  <c r="E680" i="3"/>
  <c r="F679" i="3"/>
  <c r="I679" i="3" s="1"/>
  <c r="E679" i="3"/>
  <c r="F678" i="3"/>
  <c r="I678" i="3" s="1"/>
  <c r="E678" i="3"/>
  <c r="I677" i="3"/>
  <c r="F677" i="3"/>
  <c r="E677" i="3"/>
  <c r="I676" i="3"/>
  <c r="J686" i="3" s="1"/>
  <c r="F676" i="3"/>
  <c r="E676" i="3"/>
  <c r="H672" i="3"/>
  <c r="I672" i="3" s="1"/>
  <c r="G672" i="3"/>
  <c r="F672" i="3"/>
  <c r="H671" i="3"/>
  <c r="I671" i="3" s="1"/>
  <c r="G671" i="3"/>
  <c r="F671" i="3"/>
  <c r="H670" i="3"/>
  <c r="I670" i="3" s="1"/>
  <c r="G670" i="3"/>
  <c r="F670" i="3"/>
  <c r="H669" i="3"/>
  <c r="I669" i="3" s="1"/>
  <c r="G669" i="3"/>
  <c r="F669" i="3"/>
  <c r="L665" i="3"/>
  <c r="I665" i="3"/>
  <c r="B665" i="3"/>
  <c r="H658" i="3"/>
  <c r="H659" i="3" s="1"/>
  <c r="F658" i="3"/>
  <c r="F657" i="3"/>
  <c r="G657" i="3" s="1"/>
  <c r="I657" i="3" s="1"/>
  <c r="E657" i="3"/>
  <c r="H651" i="3"/>
  <c r="G651" i="3"/>
  <c r="I651" i="3" s="1"/>
  <c r="E651" i="3"/>
  <c r="H650" i="3"/>
  <c r="G650" i="3"/>
  <c r="I650" i="3" s="1"/>
  <c r="J654" i="3" s="1"/>
  <c r="E650" i="3"/>
  <c r="I646" i="3"/>
  <c r="F644" i="3"/>
  <c r="I644" i="3" s="1"/>
  <c r="E644" i="3"/>
  <c r="F643" i="3"/>
  <c r="I643" i="3" s="1"/>
  <c r="E643" i="3"/>
  <c r="F642" i="3"/>
  <c r="I642" i="3" s="1"/>
  <c r="E642" i="3"/>
  <c r="I641" i="3"/>
  <c r="F641" i="3"/>
  <c r="E641" i="3"/>
  <c r="F640" i="3"/>
  <c r="I640" i="3" s="1"/>
  <c r="E640" i="3"/>
  <c r="I639" i="3"/>
  <c r="F639" i="3"/>
  <c r="E639" i="3"/>
  <c r="F638" i="3"/>
  <c r="I638" i="3" s="1"/>
  <c r="E638" i="3"/>
  <c r="I637" i="3"/>
  <c r="F637" i="3"/>
  <c r="E637" i="3"/>
  <c r="F636" i="3"/>
  <c r="I636" i="3" s="1"/>
  <c r="E636" i="3"/>
  <c r="F635" i="3"/>
  <c r="I635" i="3" s="1"/>
  <c r="E635" i="3"/>
  <c r="L634" i="3"/>
  <c r="I634" i="3"/>
  <c r="F634" i="3"/>
  <c r="E634" i="3"/>
  <c r="G633" i="3"/>
  <c r="F633" i="3"/>
  <c r="I633" i="3" s="1"/>
  <c r="E633" i="3"/>
  <c r="H629" i="3"/>
  <c r="G629" i="3"/>
  <c r="F629" i="3"/>
  <c r="I628" i="3"/>
  <c r="H628" i="3"/>
  <c r="G628" i="3"/>
  <c r="F628" i="3"/>
  <c r="H627" i="3"/>
  <c r="G627" i="3"/>
  <c r="I627" i="3" s="1"/>
  <c r="F627" i="3"/>
  <c r="H626" i="3"/>
  <c r="G626" i="3"/>
  <c r="I626" i="3" s="1"/>
  <c r="F626" i="3"/>
  <c r="L622" i="3"/>
  <c r="I622" i="3"/>
  <c r="B622" i="3"/>
  <c r="H615" i="3"/>
  <c r="H616" i="3" s="1"/>
  <c r="G614" i="3"/>
  <c r="I614" i="3" s="1"/>
  <c r="F614" i="3"/>
  <c r="E614" i="3"/>
  <c r="J611" i="3"/>
  <c r="I608" i="3"/>
  <c r="H608" i="3"/>
  <c r="G608" i="3"/>
  <c r="E608" i="3"/>
  <c r="F603" i="3"/>
  <c r="I603" i="3" s="1"/>
  <c r="E603" i="3"/>
  <c r="I602" i="3"/>
  <c r="F602" i="3"/>
  <c r="E602" i="3"/>
  <c r="F601" i="3"/>
  <c r="I601" i="3" s="1"/>
  <c r="E601" i="3"/>
  <c r="I600" i="3"/>
  <c r="F600" i="3"/>
  <c r="E600" i="3"/>
  <c r="I599" i="3"/>
  <c r="I598" i="3"/>
  <c r="F598" i="3"/>
  <c r="E598" i="3"/>
  <c r="F597" i="3"/>
  <c r="I597" i="3" s="1"/>
  <c r="E597" i="3"/>
  <c r="I596" i="3"/>
  <c r="F596" i="3"/>
  <c r="E596" i="3"/>
  <c r="F595" i="3"/>
  <c r="I595" i="3" s="1"/>
  <c r="E595" i="3"/>
  <c r="F594" i="3"/>
  <c r="I594" i="3" s="1"/>
  <c r="E594" i="3"/>
  <c r="F593" i="3"/>
  <c r="I593" i="3" s="1"/>
  <c r="E593" i="3"/>
  <c r="F592" i="3"/>
  <c r="I592" i="3" s="1"/>
  <c r="E592" i="3"/>
  <c r="H587" i="3"/>
  <c r="L583" i="3"/>
  <c r="I583" i="3"/>
  <c r="B583" i="3"/>
  <c r="A580" i="3"/>
  <c r="F577" i="3"/>
  <c r="H576" i="3"/>
  <c r="H577" i="3" s="1"/>
  <c r="F576" i="3"/>
  <c r="F575" i="3"/>
  <c r="E575" i="3"/>
  <c r="I569" i="3"/>
  <c r="H569" i="3"/>
  <c r="G569" i="3"/>
  <c r="E569" i="3"/>
  <c r="H568" i="3"/>
  <c r="I568" i="3" s="1"/>
  <c r="J572" i="3" s="1"/>
  <c r="F564" i="3"/>
  <c r="I564" i="3" s="1"/>
  <c r="E564" i="3"/>
  <c r="F563" i="3"/>
  <c r="I563" i="3" s="1"/>
  <c r="E563" i="3"/>
  <c r="F562" i="3"/>
  <c r="I562" i="3" s="1"/>
  <c r="E562" i="3"/>
  <c r="F561" i="3"/>
  <c r="I561" i="3" s="1"/>
  <c r="E561" i="3"/>
  <c r="I560" i="3"/>
  <c r="I559" i="3"/>
  <c r="F559" i="3"/>
  <c r="E559" i="3"/>
  <c r="I558" i="3"/>
  <c r="F558" i="3"/>
  <c r="E558" i="3"/>
  <c r="F557" i="3"/>
  <c r="I557" i="3" s="1"/>
  <c r="E557" i="3"/>
  <c r="M556" i="3"/>
  <c r="G556" i="3"/>
  <c r="F556" i="3"/>
  <c r="I556" i="3" s="1"/>
  <c r="E556" i="3"/>
  <c r="G555" i="3"/>
  <c r="F555" i="3"/>
  <c r="I555" i="3" s="1"/>
  <c r="E555" i="3"/>
  <c r="I554" i="3"/>
  <c r="J565" i="3" s="1"/>
  <c r="G554" i="3"/>
  <c r="F554" i="3"/>
  <c r="E554" i="3"/>
  <c r="G553" i="3"/>
  <c r="F553" i="3"/>
  <c r="I553" i="3" s="1"/>
  <c r="E553" i="3"/>
  <c r="H548" i="3"/>
  <c r="L544" i="3"/>
  <c r="I544" i="3"/>
  <c r="B544" i="3"/>
  <c r="A541" i="3"/>
  <c r="H538" i="3"/>
  <c r="H537" i="3"/>
  <c r="F537" i="3"/>
  <c r="H530" i="3"/>
  <c r="G530" i="3"/>
  <c r="I530" i="3" s="1"/>
  <c r="E530" i="3"/>
  <c r="H529" i="3"/>
  <c r="F529" i="3"/>
  <c r="F525" i="3"/>
  <c r="I525" i="3" s="1"/>
  <c r="E525" i="3"/>
  <c r="I524" i="3"/>
  <c r="F524" i="3"/>
  <c r="E524" i="3"/>
  <c r="F523" i="3"/>
  <c r="I523" i="3" s="1"/>
  <c r="E523" i="3"/>
  <c r="I522" i="3"/>
  <c r="F522" i="3"/>
  <c r="E522" i="3"/>
  <c r="I521" i="3"/>
  <c r="F520" i="3"/>
  <c r="I520" i="3" s="1"/>
  <c r="E520" i="3"/>
  <c r="F519" i="3"/>
  <c r="I519" i="3" s="1"/>
  <c r="E519" i="3"/>
  <c r="I518" i="3"/>
  <c r="F518" i="3"/>
  <c r="E518" i="3"/>
  <c r="G517" i="3"/>
  <c r="F517" i="3"/>
  <c r="I517" i="3" s="1"/>
  <c r="E517" i="3"/>
  <c r="I516" i="3"/>
  <c r="F516" i="3"/>
  <c r="E516" i="3"/>
  <c r="F515" i="3"/>
  <c r="I515" i="3" s="1"/>
  <c r="E515" i="3"/>
  <c r="I514" i="3"/>
  <c r="G514" i="3"/>
  <c r="F514" i="3"/>
  <c r="E514" i="3"/>
  <c r="H509" i="3"/>
  <c r="L505" i="3"/>
  <c r="I505" i="3"/>
  <c r="B505" i="3"/>
  <c r="A502" i="3"/>
  <c r="H499" i="3"/>
  <c r="F499" i="3"/>
  <c r="E498" i="3"/>
  <c r="I492" i="3"/>
  <c r="J495" i="3" s="1"/>
  <c r="H492" i="3"/>
  <c r="G492" i="3"/>
  <c r="E492" i="3"/>
  <c r="I487" i="3"/>
  <c r="F483" i="3"/>
  <c r="I483" i="3" s="1"/>
  <c r="E483" i="3"/>
  <c r="I482" i="3"/>
  <c r="F482" i="3"/>
  <c r="E482" i="3"/>
  <c r="I481" i="3"/>
  <c r="F481" i="3"/>
  <c r="E481" i="3"/>
  <c r="F480" i="3"/>
  <c r="I480" i="3" s="1"/>
  <c r="E480" i="3"/>
  <c r="F479" i="3"/>
  <c r="I479" i="3" s="1"/>
  <c r="E479" i="3"/>
  <c r="F478" i="3"/>
  <c r="I478" i="3" s="1"/>
  <c r="E478" i="3"/>
  <c r="F477" i="3"/>
  <c r="I477" i="3" s="1"/>
  <c r="E477" i="3"/>
  <c r="F476" i="3"/>
  <c r="I476" i="3" s="1"/>
  <c r="E476" i="3"/>
  <c r="F475" i="3"/>
  <c r="I475" i="3" s="1"/>
  <c r="J488" i="3" s="1"/>
  <c r="E475" i="3"/>
  <c r="M473" i="3"/>
  <c r="H470" i="3"/>
  <c r="I470" i="3" s="1"/>
  <c r="G470" i="3"/>
  <c r="F470" i="3"/>
  <c r="H469" i="3"/>
  <c r="G469" i="3"/>
  <c r="I469" i="3" s="1"/>
  <c r="F469" i="3"/>
  <c r="H468" i="3"/>
  <c r="I468" i="3" s="1"/>
  <c r="G468" i="3"/>
  <c r="F468" i="3"/>
  <c r="L464" i="3"/>
  <c r="I464" i="3"/>
  <c r="B464" i="3"/>
  <c r="F458" i="3"/>
  <c r="G458" i="3" s="1"/>
  <c r="I458" i="3" s="1"/>
  <c r="E458" i="3"/>
  <c r="H457" i="3"/>
  <c r="F456" i="3"/>
  <c r="I450" i="3"/>
  <c r="H450" i="3"/>
  <c r="G450" i="3"/>
  <c r="E450" i="3"/>
  <c r="H449" i="3"/>
  <c r="G449" i="3"/>
  <c r="I449" i="3" s="1"/>
  <c r="J453" i="3" s="1"/>
  <c r="F449" i="3"/>
  <c r="E449" i="3"/>
  <c r="I445" i="3"/>
  <c r="F444" i="3"/>
  <c r="I444" i="3" s="1"/>
  <c r="E444" i="3"/>
  <c r="F443" i="3"/>
  <c r="I443" i="3" s="1"/>
  <c r="E443" i="3"/>
  <c r="F442" i="3"/>
  <c r="I442" i="3" s="1"/>
  <c r="E442" i="3"/>
  <c r="F441" i="3"/>
  <c r="I441" i="3" s="1"/>
  <c r="J446" i="3" s="1"/>
  <c r="E441" i="3"/>
  <c r="H437" i="3"/>
  <c r="G437" i="3"/>
  <c r="I437" i="3" s="1"/>
  <c r="F437" i="3"/>
  <c r="H436" i="3"/>
  <c r="G436" i="3"/>
  <c r="F436" i="3"/>
  <c r="I435" i="3"/>
  <c r="H435" i="3"/>
  <c r="G435" i="3"/>
  <c r="F435" i="3"/>
  <c r="H434" i="3"/>
  <c r="I434" i="3" s="1"/>
  <c r="G434" i="3"/>
  <c r="F434" i="3"/>
  <c r="L430" i="3"/>
  <c r="I430" i="3"/>
  <c r="B430" i="3"/>
  <c r="A427" i="3"/>
  <c r="H423" i="3"/>
  <c r="H424" i="3" s="1"/>
  <c r="F423" i="3"/>
  <c r="I416" i="3"/>
  <c r="H416" i="3"/>
  <c r="G416" i="3"/>
  <c r="E416" i="3"/>
  <c r="H415" i="3"/>
  <c r="G415" i="3"/>
  <c r="I415" i="3" s="1"/>
  <c r="J419" i="3" s="1"/>
  <c r="E415" i="3"/>
  <c r="I411" i="3"/>
  <c r="I410" i="3"/>
  <c r="I409" i="3"/>
  <c r="I408" i="3"/>
  <c r="I407" i="3"/>
  <c r="F406" i="3"/>
  <c r="I406" i="3" s="1"/>
  <c r="E406" i="3"/>
  <c r="I405" i="3"/>
  <c r="F405" i="3"/>
  <c r="E405" i="3"/>
  <c r="F404" i="3"/>
  <c r="I404" i="3" s="1"/>
  <c r="E404" i="3"/>
  <c r="G403" i="3"/>
  <c r="F403" i="3"/>
  <c r="I403" i="3" s="1"/>
  <c r="J412" i="3" s="1"/>
  <c r="E403" i="3"/>
  <c r="G402" i="3"/>
  <c r="F402" i="3"/>
  <c r="I402" i="3" s="1"/>
  <c r="E402" i="3"/>
  <c r="G401" i="3"/>
  <c r="F401" i="3"/>
  <c r="I401" i="3" s="1"/>
  <c r="E401" i="3"/>
  <c r="H396" i="3"/>
  <c r="G396" i="3"/>
  <c r="F396" i="3"/>
  <c r="H395" i="3"/>
  <c r="G395" i="3"/>
  <c r="I395" i="3" s="1"/>
  <c r="F395" i="3"/>
  <c r="H394" i="3"/>
  <c r="I394" i="3" s="1"/>
  <c r="G394" i="3"/>
  <c r="F394" i="3"/>
  <c r="L390" i="3"/>
  <c r="I390" i="3"/>
  <c r="B390" i="3"/>
  <c r="A387" i="3"/>
  <c r="F384" i="3"/>
  <c r="E384" i="3"/>
  <c r="H383" i="3"/>
  <c r="F383" i="3"/>
  <c r="H376" i="3"/>
  <c r="G376" i="3"/>
  <c r="I376" i="3" s="1"/>
  <c r="E376" i="3"/>
  <c r="H375" i="3"/>
  <c r="I375" i="3" s="1"/>
  <c r="J379" i="3" s="1"/>
  <c r="G375" i="3"/>
  <c r="E375" i="3"/>
  <c r="L372" i="3"/>
  <c r="I371" i="3"/>
  <c r="I370" i="3"/>
  <c r="F370" i="3"/>
  <c r="E370" i="3"/>
  <c r="F369" i="3"/>
  <c r="I369" i="3" s="1"/>
  <c r="E369" i="3"/>
  <c r="F368" i="3"/>
  <c r="I368" i="3" s="1"/>
  <c r="E368" i="3"/>
  <c r="I367" i="3"/>
  <c r="F367" i="3"/>
  <c r="E367" i="3"/>
  <c r="G366" i="3"/>
  <c r="F366" i="3"/>
  <c r="I366" i="3" s="1"/>
  <c r="E366" i="3"/>
  <c r="F365" i="3"/>
  <c r="I365" i="3" s="1"/>
  <c r="E365" i="3"/>
  <c r="F364" i="3"/>
  <c r="I364" i="3" s="1"/>
  <c r="E364" i="3"/>
  <c r="F363" i="3"/>
  <c r="I363" i="3" s="1"/>
  <c r="E363" i="3"/>
  <c r="H357" i="3"/>
  <c r="G357" i="3"/>
  <c r="I357" i="3" s="1"/>
  <c r="F357" i="3"/>
  <c r="H356" i="3"/>
  <c r="I356" i="3" s="1"/>
  <c r="G356" i="3"/>
  <c r="F356" i="3"/>
  <c r="L352" i="3"/>
  <c r="I352" i="3"/>
  <c r="B352" i="3"/>
  <c r="H346" i="3"/>
  <c r="F346" i="3"/>
  <c r="H345" i="3"/>
  <c r="F345" i="3"/>
  <c r="E345" i="3"/>
  <c r="F344" i="3"/>
  <c r="E344" i="3"/>
  <c r="I338" i="3"/>
  <c r="H338" i="3"/>
  <c r="G338" i="3"/>
  <c r="E338" i="3"/>
  <c r="H337" i="3"/>
  <c r="G337" i="3"/>
  <c r="I337" i="3" s="1"/>
  <c r="J341" i="3" s="1"/>
  <c r="E337" i="3"/>
  <c r="I333" i="3"/>
  <c r="I332" i="3"/>
  <c r="F332" i="3"/>
  <c r="E332" i="3"/>
  <c r="F331" i="3"/>
  <c r="I331" i="3" s="1"/>
  <c r="E331" i="3"/>
  <c r="I330" i="3"/>
  <c r="F330" i="3"/>
  <c r="E330" i="3"/>
  <c r="F329" i="3"/>
  <c r="I329" i="3" s="1"/>
  <c r="E329" i="3"/>
  <c r="F328" i="3"/>
  <c r="I328" i="3" s="1"/>
  <c r="E328" i="3"/>
  <c r="I322" i="3"/>
  <c r="H322" i="3"/>
  <c r="G322" i="3"/>
  <c r="F322" i="3"/>
  <c r="I321" i="3"/>
  <c r="H321" i="3"/>
  <c r="G321" i="3"/>
  <c r="F321" i="3"/>
  <c r="L317" i="3"/>
  <c r="I317" i="3"/>
  <c r="B317" i="3"/>
  <c r="H310" i="3"/>
  <c r="H311" i="3" s="1"/>
  <c r="I303" i="3"/>
  <c r="H303" i="3"/>
  <c r="G303" i="3"/>
  <c r="E303" i="3"/>
  <c r="H302" i="3"/>
  <c r="G302" i="3"/>
  <c r="I302" i="3" s="1"/>
  <c r="J306" i="3" s="1"/>
  <c r="E302" i="3"/>
  <c r="I298" i="3"/>
  <c r="F297" i="3"/>
  <c r="I297" i="3" s="1"/>
  <c r="E297" i="3"/>
  <c r="F296" i="3"/>
  <c r="I296" i="3" s="1"/>
  <c r="E296" i="3"/>
  <c r="I295" i="3"/>
  <c r="F295" i="3"/>
  <c r="E295" i="3"/>
  <c r="F294" i="3"/>
  <c r="I294" i="3" s="1"/>
  <c r="E294" i="3"/>
  <c r="F293" i="3"/>
  <c r="I293" i="3" s="1"/>
  <c r="E293" i="3"/>
  <c r="F292" i="3"/>
  <c r="I292" i="3" s="1"/>
  <c r="E292" i="3"/>
  <c r="I291" i="3"/>
  <c r="F291" i="3"/>
  <c r="E291" i="3"/>
  <c r="F290" i="3"/>
  <c r="I290" i="3" s="1"/>
  <c r="E290" i="3"/>
  <c r="H285" i="3"/>
  <c r="G285" i="3"/>
  <c r="I285" i="3" s="1"/>
  <c r="F285" i="3"/>
  <c r="H284" i="3"/>
  <c r="I284" i="3" s="1"/>
  <c r="G284" i="3"/>
  <c r="F284" i="3"/>
  <c r="I283" i="3"/>
  <c r="H283" i="3"/>
  <c r="G283" i="3"/>
  <c r="F283" i="3"/>
  <c r="L279" i="3"/>
  <c r="I279" i="3"/>
  <c r="B279" i="3"/>
  <c r="A276" i="3"/>
  <c r="H272" i="3"/>
  <c r="H273" i="3" s="1"/>
  <c r="F272" i="3"/>
  <c r="H265" i="3"/>
  <c r="G265" i="3"/>
  <c r="E265" i="3"/>
  <c r="H264" i="3"/>
  <c r="G264" i="3"/>
  <c r="F264" i="3"/>
  <c r="E264" i="3"/>
  <c r="I260" i="3"/>
  <c r="I259" i="3"/>
  <c r="F259" i="3"/>
  <c r="E259" i="3"/>
  <c r="F258" i="3"/>
  <c r="I258" i="3" s="1"/>
  <c r="J261" i="3" s="1"/>
  <c r="E258" i="3"/>
  <c r="F257" i="3"/>
  <c r="I257" i="3" s="1"/>
  <c r="E257" i="3"/>
  <c r="F256" i="3"/>
  <c r="I256" i="3" s="1"/>
  <c r="E256" i="3"/>
  <c r="F255" i="3"/>
  <c r="I255" i="3" s="1"/>
  <c r="E255" i="3"/>
  <c r="F254" i="3"/>
  <c r="I254" i="3" s="1"/>
  <c r="E254" i="3"/>
  <c r="H249" i="3"/>
  <c r="I249" i="3" s="1"/>
  <c r="G249" i="3"/>
  <c r="F249" i="3"/>
  <c r="H248" i="3"/>
  <c r="I248" i="3" s="1"/>
  <c r="G248" i="3"/>
  <c r="F248" i="3"/>
  <c r="L243" i="3"/>
  <c r="I243" i="3"/>
  <c r="B243" i="3"/>
  <c r="A240" i="3"/>
  <c r="G237" i="3"/>
  <c r="I237" i="3" s="1"/>
  <c r="F237" i="3"/>
  <c r="E237" i="3"/>
  <c r="H236" i="3"/>
  <c r="H229" i="3"/>
  <c r="I229" i="3" s="1"/>
  <c r="G229" i="3"/>
  <c r="E229" i="3"/>
  <c r="I228" i="3"/>
  <c r="H228" i="3"/>
  <c r="G228" i="3"/>
  <c r="E228" i="3"/>
  <c r="I224" i="3"/>
  <c r="F223" i="3"/>
  <c r="I223" i="3" s="1"/>
  <c r="E223" i="3"/>
  <c r="F222" i="3"/>
  <c r="I222" i="3" s="1"/>
  <c r="E222" i="3"/>
  <c r="F221" i="3"/>
  <c r="I221" i="3" s="1"/>
  <c r="E221" i="3"/>
  <c r="L220" i="3"/>
  <c r="I220" i="3"/>
  <c r="F220" i="3"/>
  <c r="E220" i="3"/>
  <c r="L219" i="3"/>
  <c r="I219" i="3"/>
  <c r="F219" i="3"/>
  <c r="E219" i="3"/>
  <c r="H214" i="3"/>
  <c r="G214" i="3"/>
  <c r="I214" i="3" s="1"/>
  <c r="F214" i="3"/>
  <c r="H213" i="3"/>
  <c r="I213" i="3" s="1"/>
  <c r="G213" i="3"/>
  <c r="F213" i="3"/>
  <c r="H212" i="3"/>
  <c r="G212" i="3"/>
  <c r="I212" i="3" s="1"/>
  <c r="F212" i="3"/>
  <c r="L208" i="3"/>
  <c r="I208" i="3"/>
  <c r="B208" i="3"/>
  <c r="A205" i="3"/>
  <c r="H201" i="3"/>
  <c r="H202" i="3" s="1"/>
  <c r="F200" i="3"/>
  <c r="E200" i="3"/>
  <c r="H194" i="3"/>
  <c r="I194" i="3" s="1"/>
  <c r="G194" i="3"/>
  <c r="E194" i="3"/>
  <c r="H193" i="3"/>
  <c r="G193" i="3"/>
  <c r="I193" i="3" s="1"/>
  <c r="J197" i="3" s="1"/>
  <c r="E193" i="3"/>
  <c r="I189" i="3"/>
  <c r="F188" i="3"/>
  <c r="I188" i="3" s="1"/>
  <c r="E188" i="3"/>
  <c r="F187" i="3"/>
  <c r="I187" i="3" s="1"/>
  <c r="E187" i="3"/>
  <c r="F186" i="3"/>
  <c r="I186" i="3" s="1"/>
  <c r="E186" i="3"/>
  <c r="F185" i="3"/>
  <c r="I185" i="3" s="1"/>
  <c r="E185" i="3"/>
  <c r="I184" i="3"/>
  <c r="F184" i="3"/>
  <c r="E184" i="3"/>
  <c r="I178" i="3"/>
  <c r="H178" i="3"/>
  <c r="G178" i="3"/>
  <c r="F178" i="3"/>
  <c r="H177" i="3"/>
  <c r="I177" i="3" s="1"/>
  <c r="G177" i="3"/>
  <c r="F177" i="3"/>
  <c r="L173" i="3"/>
  <c r="I173" i="3"/>
  <c r="B173" i="3"/>
  <c r="H166" i="3"/>
  <c r="H167" i="3" s="1"/>
  <c r="F166" i="3"/>
  <c r="F165" i="3"/>
  <c r="L158" i="3"/>
  <c r="H158" i="3"/>
  <c r="G158" i="3"/>
  <c r="I158" i="3" s="1"/>
  <c r="J162" i="3" s="1"/>
  <c r="F158" i="3"/>
  <c r="E158" i="3"/>
  <c r="I153" i="3"/>
  <c r="F153" i="3"/>
  <c r="E153" i="3"/>
  <c r="F152" i="3"/>
  <c r="I152" i="3" s="1"/>
  <c r="E152" i="3"/>
  <c r="F151" i="3"/>
  <c r="I151" i="3" s="1"/>
  <c r="E151" i="3"/>
  <c r="I150" i="3"/>
  <c r="F150" i="3"/>
  <c r="E150" i="3"/>
  <c r="H144" i="3"/>
  <c r="G144" i="3"/>
  <c r="I144" i="3" s="1"/>
  <c r="F144" i="3"/>
  <c r="H143" i="3"/>
  <c r="G143" i="3"/>
  <c r="I143" i="3" s="1"/>
  <c r="F143" i="3"/>
  <c r="L139" i="3"/>
  <c r="I139" i="3"/>
  <c r="B139" i="3"/>
  <c r="F133" i="3"/>
  <c r="G133" i="3" s="1"/>
  <c r="I133" i="3" s="1"/>
  <c r="E133" i="3"/>
  <c r="H132" i="3"/>
  <c r="F131" i="3"/>
  <c r="J128" i="3"/>
  <c r="I125" i="3"/>
  <c r="H125" i="3"/>
  <c r="G125" i="3"/>
  <c r="E125" i="3"/>
  <c r="H124" i="3"/>
  <c r="G124" i="3"/>
  <c r="I124" i="3" s="1"/>
  <c r="E124" i="3"/>
  <c r="F120" i="3"/>
  <c r="I120" i="3" s="1"/>
  <c r="E120" i="3"/>
  <c r="F119" i="3"/>
  <c r="I119" i="3" s="1"/>
  <c r="E119" i="3"/>
  <c r="F118" i="3"/>
  <c r="I118" i="3" s="1"/>
  <c r="E118" i="3"/>
  <c r="F117" i="3"/>
  <c r="I117" i="3" s="1"/>
  <c r="E117" i="3"/>
  <c r="F116" i="3"/>
  <c r="I116" i="3" s="1"/>
  <c r="E116" i="3"/>
  <c r="H111" i="3"/>
  <c r="I110" i="3"/>
  <c r="H110" i="3"/>
  <c r="G110" i="3"/>
  <c r="F110" i="3"/>
  <c r="H109" i="3"/>
  <c r="G109" i="3"/>
  <c r="I109" i="3" s="1"/>
  <c r="F109" i="3"/>
  <c r="L105" i="3"/>
  <c r="I105" i="3"/>
  <c r="B105" i="3"/>
  <c r="A102" i="3"/>
  <c r="F99" i="3"/>
  <c r="E99" i="3"/>
  <c r="H98" i="3"/>
  <c r="F98" i="3"/>
  <c r="H91" i="3"/>
  <c r="G91" i="3"/>
  <c r="E91" i="3"/>
  <c r="H90" i="3"/>
  <c r="G90" i="3"/>
  <c r="I90" i="3" s="1"/>
  <c r="E90" i="3"/>
  <c r="F86" i="3"/>
  <c r="I86" i="3" s="1"/>
  <c r="E86" i="3"/>
  <c r="F85" i="3"/>
  <c r="I85" i="3" s="1"/>
  <c r="E85" i="3"/>
  <c r="F84" i="3"/>
  <c r="I84" i="3" s="1"/>
  <c r="E84" i="3"/>
  <c r="I83" i="3"/>
  <c r="F83" i="3"/>
  <c r="E83" i="3"/>
  <c r="I82" i="3"/>
  <c r="F82" i="3"/>
  <c r="E82" i="3"/>
  <c r="H77" i="3"/>
  <c r="I76" i="3"/>
  <c r="H76" i="3"/>
  <c r="G76" i="3"/>
  <c r="F76" i="3"/>
  <c r="H75" i="3"/>
  <c r="G75" i="3"/>
  <c r="I75" i="3" s="1"/>
  <c r="F75" i="3"/>
  <c r="L71" i="3"/>
  <c r="I71" i="3"/>
  <c r="B71" i="3"/>
  <c r="H65" i="3"/>
  <c r="H64" i="3"/>
  <c r="F64" i="3"/>
  <c r="F63" i="3"/>
  <c r="E63" i="3"/>
  <c r="H56" i="3"/>
  <c r="G56" i="3"/>
  <c r="I56" i="3" s="1"/>
  <c r="J60" i="3" s="1"/>
  <c r="E56" i="3"/>
  <c r="L55" i="3"/>
  <c r="I52" i="3"/>
  <c r="I51" i="3"/>
  <c r="F50" i="3"/>
  <c r="I50" i="3" s="1"/>
  <c r="E50" i="3"/>
  <c r="I49" i="3"/>
  <c r="F49" i="3"/>
  <c r="E49" i="3"/>
  <c r="I48" i="3"/>
  <c r="F48" i="3"/>
  <c r="E48" i="3"/>
  <c r="H42" i="3"/>
  <c r="G42" i="3"/>
  <c r="I42" i="3" s="1"/>
  <c r="F42" i="3"/>
  <c r="H41" i="3"/>
  <c r="G41" i="3"/>
  <c r="I41" i="3" s="1"/>
  <c r="F41" i="3"/>
  <c r="L37" i="3"/>
  <c r="I37" i="3"/>
  <c r="B37" i="3"/>
  <c r="F31" i="3"/>
  <c r="G31" i="3" s="1"/>
  <c r="E31" i="3"/>
  <c r="H30" i="3"/>
  <c r="F29" i="3"/>
  <c r="E29" i="3"/>
  <c r="J26" i="3"/>
  <c r="I17" i="3"/>
  <c r="F16" i="3"/>
  <c r="I16" i="3" s="1"/>
  <c r="E16" i="3"/>
  <c r="I15" i="3"/>
  <c r="F15" i="3"/>
  <c r="E15" i="3"/>
  <c r="O10" i="3"/>
  <c r="F1435" i="3" s="1"/>
  <c r="M10" i="3"/>
  <c r="N10" i="3" s="1"/>
  <c r="E1188" i="3" s="1"/>
  <c r="O8" i="3"/>
  <c r="F902" i="3" s="1"/>
  <c r="M8" i="3"/>
  <c r="N8" i="3" s="1"/>
  <c r="I8" i="3"/>
  <c r="O6" i="3"/>
  <c r="F1231" i="3" s="1"/>
  <c r="M6" i="3"/>
  <c r="N6" i="3" s="1"/>
  <c r="O4" i="3"/>
  <c r="M4" i="3"/>
  <c r="N4" i="3" s="1"/>
  <c r="I4" i="3"/>
  <c r="B4" i="3"/>
  <c r="A1" i="3"/>
  <c r="A34" i="3" s="1"/>
  <c r="A619" i="3" s="1"/>
  <c r="C167" i="2"/>
  <c r="C166" i="2"/>
  <c r="C168" i="2" s="1"/>
  <c r="D168" i="2" s="1"/>
  <c r="P157" i="2"/>
  <c r="N157" i="2"/>
  <c r="M157" i="2"/>
  <c r="P156" i="2"/>
  <c r="P155" i="2" s="1"/>
  <c r="M156" i="2"/>
  <c r="P153" i="2"/>
  <c r="N153" i="2"/>
  <c r="M153" i="2"/>
  <c r="M152" i="2"/>
  <c r="P152" i="2" s="1"/>
  <c r="P151" i="2" s="1"/>
  <c r="P149" i="2"/>
  <c r="N149" i="2"/>
  <c r="M149" i="2"/>
  <c r="P148" i="2"/>
  <c r="P147" i="2" s="1"/>
  <c r="M148" i="2"/>
  <c r="P145" i="2"/>
  <c r="N145" i="2"/>
  <c r="M145" i="2"/>
  <c r="P144" i="2"/>
  <c r="P143" i="2" s="1"/>
  <c r="M144" i="2"/>
  <c r="P141" i="2"/>
  <c r="N141" i="2"/>
  <c r="M141" i="2"/>
  <c r="M140" i="2"/>
  <c r="P140" i="2" s="1"/>
  <c r="P139" i="2" s="1"/>
  <c r="P137" i="2"/>
  <c r="N137" i="2"/>
  <c r="M137" i="2"/>
  <c r="M136" i="2"/>
  <c r="P136" i="2" s="1"/>
  <c r="P135" i="2" s="1"/>
  <c r="P133" i="2"/>
  <c r="N133" i="2"/>
  <c r="M133" i="2"/>
  <c r="M132" i="2"/>
  <c r="P132" i="2" s="1"/>
  <c r="P131" i="2" s="1"/>
  <c r="P127" i="2"/>
  <c r="N127" i="2"/>
  <c r="M127" i="2"/>
  <c r="M126" i="2"/>
  <c r="P126" i="2" s="1"/>
  <c r="P125" i="2" s="1"/>
  <c r="P120" i="2"/>
  <c r="N120" i="2"/>
  <c r="M120" i="2"/>
  <c r="P119" i="2"/>
  <c r="M119" i="2"/>
  <c r="P118" i="2"/>
  <c r="P117" i="2" s="1"/>
  <c r="M118" i="2"/>
  <c r="P114" i="2"/>
  <c r="N114" i="2"/>
  <c r="M114" i="2"/>
  <c r="P113" i="2"/>
  <c r="M113" i="2"/>
  <c r="P112" i="2"/>
  <c r="M112" i="2"/>
  <c r="P111" i="2"/>
  <c r="P109" i="2"/>
  <c r="N109" i="2"/>
  <c r="M109" i="2"/>
  <c r="P108" i="2"/>
  <c r="M108" i="2"/>
  <c r="P107" i="2"/>
  <c r="P106" i="2" s="1"/>
  <c r="M107" i="2"/>
  <c r="P104" i="2"/>
  <c r="N104" i="2"/>
  <c r="M104" i="2"/>
  <c r="P103" i="2"/>
  <c r="M103" i="2"/>
  <c r="M102" i="2"/>
  <c r="P102" i="2" s="1"/>
  <c r="P101" i="2" s="1"/>
  <c r="P99" i="2"/>
  <c r="N99" i="2"/>
  <c r="M99" i="2"/>
  <c r="P98" i="2"/>
  <c r="M98" i="2"/>
  <c r="P97" i="2"/>
  <c r="P96" i="2" s="1"/>
  <c r="M97" i="2"/>
  <c r="P94" i="2"/>
  <c r="N94" i="2"/>
  <c r="M94" i="2"/>
  <c r="P93" i="2"/>
  <c r="M93" i="2"/>
  <c r="P92" i="2"/>
  <c r="M92" i="2"/>
  <c r="P91" i="2"/>
  <c r="P89" i="2"/>
  <c r="N89" i="2"/>
  <c r="M89" i="2"/>
  <c r="P88" i="2"/>
  <c r="M88" i="2"/>
  <c r="M87" i="2"/>
  <c r="P87" i="2" s="1"/>
  <c r="P86" i="2" s="1"/>
  <c r="P84" i="2"/>
  <c r="N84" i="2"/>
  <c r="M84" i="2"/>
  <c r="P83" i="2"/>
  <c r="M83" i="2"/>
  <c r="M82" i="2"/>
  <c r="P82" i="2" s="1"/>
  <c r="P81" i="2" s="1"/>
  <c r="P79" i="2"/>
  <c r="N79" i="2"/>
  <c r="M79" i="2"/>
  <c r="P78" i="2"/>
  <c r="M78" i="2"/>
  <c r="M77" i="2"/>
  <c r="P77" i="2" s="1"/>
  <c r="P76" i="2" s="1"/>
  <c r="P72" i="2"/>
  <c r="N72" i="2"/>
  <c r="M72" i="2"/>
  <c r="P71" i="2"/>
  <c r="N71" i="2"/>
  <c r="M71" i="2"/>
  <c r="M70" i="2"/>
  <c r="P70" i="2" s="1"/>
  <c r="P69" i="2" s="1"/>
  <c r="R69" i="2"/>
  <c r="P67" i="2"/>
  <c r="N67" i="2"/>
  <c r="M67" i="2"/>
  <c r="P66" i="2"/>
  <c r="N66" i="2"/>
  <c r="M66" i="2"/>
  <c r="M65" i="2"/>
  <c r="P65" i="2" s="1"/>
  <c r="P64" i="2" s="1"/>
  <c r="R64" i="2"/>
  <c r="P62" i="2"/>
  <c r="N62" i="2"/>
  <c r="M62" i="2"/>
  <c r="P61" i="2"/>
  <c r="P59" i="2" s="1"/>
  <c r="M61" i="2"/>
  <c r="P60" i="2"/>
  <c r="M60" i="2"/>
  <c r="P55" i="2"/>
  <c r="N55" i="2"/>
  <c r="M55" i="2"/>
  <c r="P54" i="2"/>
  <c r="M54" i="2"/>
  <c r="P53" i="2"/>
  <c r="M53" i="2"/>
  <c r="P52" i="2"/>
  <c r="N52" i="2"/>
  <c r="M52" i="2"/>
  <c r="M51" i="2"/>
  <c r="P51" i="2" s="1"/>
  <c r="P50" i="2" s="1"/>
  <c r="P48" i="2"/>
  <c r="N48" i="2"/>
  <c r="M48" i="2"/>
  <c r="P47" i="2"/>
  <c r="M47" i="2"/>
  <c r="P46" i="2"/>
  <c r="M46" i="2"/>
  <c r="M45" i="2"/>
  <c r="P45" i="2" s="1"/>
  <c r="P44" i="2" s="1"/>
  <c r="P42" i="2"/>
  <c r="N42" i="2"/>
  <c r="M42" i="2"/>
  <c r="P41" i="2"/>
  <c r="M41" i="2"/>
  <c r="F40" i="2"/>
  <c r="M40" i="2" s="1"/>
  <c r="P40" i="2" s="1"/>
  <c r="P39" i="2" s="1"/>
  <c r="P33" i="2"/>
  <c r="P32" i="2"/>
  <c r="P31" i="2"/>
  <c r="P30" i="2" s="1"/>
  <c r="M31" i="2"/>
  <c r="P28" i="2"/>
  <c r="P27" i="2"/>
  <c r="P26" i="2"/>
  <c r="P25" i="2"/>
  <c r="P24" i="2" s="1"/>
  <c r="M25" i="2"/>
  <c r="P19" i="2"/>
  <c r="P18" i="2"/>
  <c r="P17" i="2" s="1"/>
  <c r="K18" i="2"/>
  <c r="K13" i="2"/>
  <c r="P13" i="2" s="1"/>
  <c r="K12" i="2"/>
  <c r="P12" i="2" s="1"/>
  <c r="P11" i="2" s="1"/>
  <c r="AB5" i="2"/>
  <c r="AB6" i="2" s="1"/>
  <c r="G40" i="1"/>
  <c r="G41" i="1" s="1"/>
  <c r="I38" i="1"/>
  <c r="F27" i="1"/>
  <c r="E27" i="1"/>
  <c r="G27" i="1" s="1"/>
  <c r="D27" i="1"/>
  <c r="C27" i="1"/>
  <c r="J26" i="1"/>
  <c r="C26" i="1"/>
  <c r="F25" i="1"/>
  <c r="E25" i="1"/>
  <c r="G25" i="1" s="1"/>
  <c r="D25" i="1"/>
  <c r="C25" i="1"/>
  <c r="F24" i="1"/>
  <c r="E24" i="1"/>
  <c r="G24" i="1" s="1"/>
  <c r="D24" i="1"/>
  <c r="C24" i="1"/>
  <c r="F23" i="1"/>
  <c r="E23" i="1"/>
  <c r="G23" i="1" s="1"/>
  <c r="D23" i="1"/>
  <c r="C23" i="1"/>
  <c r="G22" i="1"/>
  <c r="F22" i="1"/>
  <c r="E22" i="1"/>
  <c r="D22" i="1"/>
  <c r="C22" i="1"/>
  <c r="G21" i="1"/>
  <c r="F21" i="1"/>
  <c r="E21" i="1"/>
  <c r="D21" i="1"/>
  <c r="C21" i="1"/>
  <c r="F20" i="1"/>
  <c r="E20" i="1"/>
  <c r="G20" i="1" s="1"/>
  <c r="D20" i="1"/>
  <c r="C20" i="1"/>
  <c r="F19" i="1"/>
  <c r="G19" i="1" s="1"/>
  <c r="E19" i="1"/>
  <c r="D19" i="1"/>
  <c r="C19" i="1"/>
  <c r="F18" i="1"/>
  <c r="E18" i="1"/>
  <c r="G18" i="1" s="1"/>
  <c r="D18" i="1"/>
  <c r="C18" i="1"/>
  <c r="F17" i="1"/>
  <c r="E17" i="1"/>
  <c r="G17" i="1" s="1"/>
  <c r="D17" i="1"/>
  <c r="C17" i="1"/>
  <c r="C16" i="1"/>
  <c r="F15" i="1"/>
  <c r="E15" i="1"/>
  <c r="G15" i="1" s="1"/>
  <c r="D15" i="1"/>
  <c r="C15" i="1"/>
  <c r="C14" i="1"/>
  <c r="F13" i="1"/>
  <c r="E13" i="1"/>
  <c r="G13" i="1" s="1"/>
  <c r="D13" i="1"/>
  <c r="C13" i="1"/>
  <c r="F12" i="1"/>
  <c r="E12" i="1"/>
  <c r="G12" i="1" s="1"/>
  <c r="D12" i="1"/>
  <c r="C12" i="1"/>
  <c r="F11" i="1"/>
  <c r="E11" i="1"/>
  <c r="G11" i="1" s="1"/>
  <c r="D11" i="1"/>
  <c r="C11" i="1"/>
  <c r="C10" i="1"/>
  <c r="F9" i="1"/>
  <c r="E9" i="1"/>
  <c r="G9" i="1" s="1"/>
  <c r="D9" i="1"/>
  <c r="C9" i="1"/>
  <c r="G8" i="1"/>
  <c r="I7" i="1" s="1"/>
  <c r="F8" i="1"/>
  <c r="E8" i="1"/>
  <c r="D8" i="1"/>
  <c r="C8" i="1"/>
  <c r="C7" i="1"/>
  <c r="F6" i="1"/>
  <c r="E6" i="1"/>
  <c r="G6" i="1" s="1"/>
  <c r="D6" i="1"/>
  <c r="C6" i="1"/>
  <c r="F5" i="1"/>
  <c r="E5" i="1"/>
  <c r="G5" i="1" s="1"/>
  <c r="D5" i="1"/>
  <c r="C5" i="1"/>
  <c r="C4" i="1"/>
  <c r="G17" i="5" l="1"/>
  <c r="G29" i="5" s="1"/>
  <c r="H6" i="5" s="1"/>
  <c r="G11" i="5"/>
  <c r="L25" i="5"/>
  <c r="I20" i="4"/>
  <c r="J20" i="4" s="1"/>
  <c r="I21" i="4"/>
  <c r="J21" i="4" s="1"/>
  <c r="I22" i="4"/>
  <c r="I24" i="4"/>
  <c r="J24" i="4" s="1"/>
  <c r="I18" i="4"/>
  <c r="J18" i="4" s="1"/>
  <c r="I16" i="4"/>
  <c r="J16" i="4" s="1"/>
  <c r="I17" i="4"/>
  <c r="J17" i="4" s="1"/>
  <c r="J27" i="4"/>
  <c r="J232" i="3"/>
  <c r="E538" i="3"/>
  <c r="E980" i="3"/>
  <c r="E938" i="3"/>
  <c r="E577" i="3"/>
  <c r="E65" i="3"/>
  <c r="E236" i="3"/>
  <c r="E1515" i="3"/>
  <c r="E30" i="3"/>
  <c r="E167" i="3"/>
  <c r="E346" i="3"/>
  <c r="G346" i="3" s="1"/>
  <c r="I346" i="3" s="1"/>
  <c r="E1398" i="3"/>
  <c r="E424" i="3"/>
  <c r="E659" i="3"/>
  <c r="E616" i="3"/>
  <c r="E1359" i="3"/>
  <c r="E202" i="3"/>
  <c r="E311" i="3"/>
  <c r="E1437" i="3"/>
  <c r="E132" i="3"/>
  <c r="E273" i="3"/>
  <c r="G696" i="3"/>
  <c r="I696" i="3" s="1"/>
  <c r="G577" i="3"/>
  <c r="I577" i="3" s="1"/>
  <c r="J1185" i="3"/>
  <c r="G869" i="3"/>
  <c r="I869" i="3" s="1"/>
  <c r="G98" i="3"/>
  <c r="I98" i="3" s="1"/>
  <c r="J121" i="3"/>
  <c r="J299" i="3"/>
  <c r="G384" i="3"/>
  <c r="I384" i="3" s="1"/>
  <c r="J754" i="3"/>
  <c r="J19" i="3"/>
  <c r="G345" i="3"/>
  <c r="I345" i="3" s="1"/>
  <c r="G979" i="3"/>
  <c r="I979" i="3" s="1"/>
  <c r="G764" i="3"/>
  <c r="I764" i="3" s="1"/>
  <c r="G1475" i="3"/>
  <c r="I1475" i="3" s="1"/>
  <c r="E576" i="3"/>
  <c r="E1231" i="3"/>
  <c r="E697" i="3"/>
  <c r="E615" i="3"/>
  <c r="E1189" i="3"/>
  <c r="E765" i="3"/>
  <c r="E1436" i="3"/>
  <c r="E1147" i="3"/>
  <c r="E1358" i="3"/>
  <c r="E383" i="3"/>
  <c r="E310" i="3"/>
  <c r="E1514" i="3"/>
  <c r="E1317" i="3"/>
  <c r="G1317" i="3" s="1"/>
  <c r="I1317" i="3" s="1"/>
  <c r="E272" i="3"/>
  <c r="G272" i="3" s="1"/>
  <c r="I272" i="3" s="1"/>
  <c r="E868" i="3"/>
  <c r="E537" i="3"/>
  <c r="E423" i="3"/>
  <c r="G423" i="3" s="1"/>
  <c r="I423" i="3" s="1"/>
  <c r="E201" i="3"/>
  <c r="E1397" i="3"/>
  <c r="G1397" i="3" s="1"/>
  <c r="I1397" i="3" s="1"/>
  <c r="E731" i="3"/>
  <c r="E937" i="3"/>
  <c r="E903" i="3"/>
  <c r="G903" i="3" s="1"/>
  <c r="I903" i="3" s="1"/>
  <c r="E799" i="3"/>
  <c r="E833" i="3"/>
  <c r="E1021" i="3"/>
  <c r="E457" i="3"/>
  <c r="E64" i="3"/>
  <c r="E499" i="3"/>
  <c r="E166" i="3"/>
  <c r="E658" i="3"/>
  <c r="G658" i="3" s="1"/>
  <c r="I658" i="3" s="1"/>
  <c r="J661" i="3" s="1"/>
  <c r="I625" i="3" s="1"/>
  <c r="J630" i="3" s="1"/>
  <c r="J622" i="3" s="1"/>
  <c r="J822" i="3"/>
  <c r="G1188" i="3"/>
  <c r="I1188" i="3" s="1"/>
  <c r="J1386" i="3"/>
  <c r="J1220" i="3"/>
  <c r="J372" i="3"/>
  <c r="J647" i="3"/>
  <c r="G1063" i="3"/>
  <c r="I1063" i="3" s="1"/>
  <c r="F538" i="3"/>
  <c r="G538" i="3" s="1"/>
  <c r="I538" i="3" s="1"/>
  <c r="F980" i="3"/>
  <c r="F424" i="3"/>
  <c r="F1359" i="3"/>
  <c r="G1359" i="3" s="1"/>
  <c r="I1359" i="3" s="1"/>
  <c r="F938" i="3"/>
  <c r="F1398" i="3"/>
  <c r="F273" i="3"/>
  <c r="F236" i="3"/>
  <c r="F1515" i="3"/>
  <c r="F65" i="3"/>
  <c r="G65" i="3" s="1"/>
  <c r="I65" i="3" s="1"/>
  <c r="F30" i="3"/>
  <c r="F167" i="3"/>
  <c r="F616" i="3"/>
  <c r="G616" i="3" s="1"/>
  <c r="I616" i="3" s="1"/>
  <c r="F659" i="3"/>
  <c r="G659" i="3" s="1"/>
  <c r="I659" i="3" s="1"/>
  <c r="F311" i="3"/>
  <c r="G311" i="3" s="1"/>
  <c r="I311" i="3" s="1"/>
  <c r="F202" i="3"/>
  <c r="G202" i="3" s="1"/>
  <c r="I202" i="3" s="1"/>
  <c r="F1437" i="3"/>
  <c r="G1437" i="3" s="1"/>
  <c r="I1437" i="3" s="1"/>
  <c r="G63" i="3"/>
  <c r="I63" i="3" s="1"/>
  <c r="F132" i="3"/>
  <c r="E902" i="3"/>
  <c r="E131" i="3"/>
  <c r="G131" i="3" s="1"/>
  <c r="I131" i="3" s="1"/>
  <c r="E97" i="3"/>
  <c r="E696" i="3"/>
  <c r="E730" i="3"/>
  <c r="E165" i="3"/>
  <c r="G165" i="3" s="1"/>
  <c r="I165" i="3" s="1"/>
  <c r="E235" i="3"/>
  <c r="I91" i="3"/>
  <c r="J94" i="3" s="1"/>
  <c r="G200" i="3"/>
  <c r="I200" i="3" s="1"/>
  <c r="G575" i="3"/>
  <c r="I575" i="3" s="1"/>
  <c r="G344" i="3"/>
  <c r="I344" i="3" s="1"/>
  <c r="G576" i="3"/>
  <c r="I576" i="3" s="1"/>
  <c r="I1389" i="3"/>
  <c r="J1393" i="3" s="1"/>
  <c r="J1246" i="3"/>
  <c r="J1238" i="3" s="1"/>
  <c r="J334" i="3"/>
  <c r="J720" i="3"/>
  <c r="J975" i="3"/>
  <c r="G1316" i="3"/>
  <c r="I1316" i="3" s="1"/>
  <c r="J87" i="3"/>
  <c r="E98" i="3"/>
  <c r="G383" i="3"/>
  <c r="I383" i="3" s="1"/>
  <c r="J526" i="3"/>
  <c r="G832" i="3"/>
  <c r="I832" i="3" s="1"/>
  <c r="G1230" i="3"/>
  <c r="I1230" i="3" s="1"/>
  <c r="G29" i="3"/>
  <c r="I29" i="3" s="1"/>
  <c r="E456" i="3"/>
  <c r="G456" i="3" s="1"/>
  <c r="I456" i="3" s="1"/>
  <c r="J460" i="3" s="1"/>
  <c r="I433" i="3" s="1"/>
  <c r="J438" i="3" s="1"/>
  <c r="J430" i="3" s="1"/>
  <c r="G1021" i="3"/>
  <c r="I1021" i="3" s="1"/>
  <c r="J1024" i="3" s="1"/>
  <c r="I989" i="3" s="1"/>
  <c r="J994" i="3" s="1"/>
  <c r="J986" i="3" s="1"/>
  <c r="G1231" i="3"/>
  <c r="I1231" i="3" s="1"/>
  <c r="J155" i="3"/>
  <c r="I529" i="3"/>
  <c r="J533" i="3" s="1"/>
  <c r="I629" i="3"/>
  <c r="I1201" i="3"/>
  <c r="G798" i="3"/>
  <c r="I798" i="3" s="1"/>
  <c r="J53" i="3"/>
  <c r="G166" i="3"/>
  <c r="I166" i="3" s="1"/>
  <c r="G1435" i="3"/>
  <c r="I1435" i="3" s="1"/>
  <c r="G64" i="3"/>
  <c r="I64" i="3" s="1"/>
  <c r="J829" i="3"/>
  <c r="J1265" i="3"/>
  <c r="I1350" i="3"/>
  <c r="J1354" i="3" s="1"/>
  <c r="G537" i="3"/>
  <c r="I537" i="3" s="1"/>
  <c r="J604" i="3"/>
  <c r="J1432" i="3"/>
  <c r="J1136" i="3"/>
  <c r="E382" i="3"/>
  <c r="E1396" i="3"/>
  <c r="E1104" i="3"/>
  <c r="G1104" i="3" s="1"/>
  <c r="I1104" i="3" s="1"/>
  <c r="E978" i="3"/>
  <c r="G978" i="3" s="1"/>
  <c r="I978" i="3" s="1"/>
  <c r="E1435" i="3"/>
  <c r="E1062" i="3"/>
  <c r="E1146" i="3"/>
  <c r="E271" i="3"/>
  <c r="E536" i="3"/>
  <c r="E422" i="3"/>
  <c r="E867" i="3"/>
  <c r="G867" i="3" s="1"/>
  <c r="I867" i="3" s="1"/>
  <c r="E1357" i="3"/>
  <c r="E309" i="3"/>
  <c r="E1230" i="3"/>
  <c r="E936" i="3"/>
  <c r="G936" i="3" s="1"/>
  <c r="I936" i="3" s="1"/>
  <c r="E798" i="3"/>
  <c r="E1513" i="3"/>
  <c r="G99" i="3"/>
  <c r="I99" i="3" s="1"/>
  <c r="I264" i="3"/>
  <c r="J190" i="3"/>
  <c r="J225" i="3"/>
  <c r="I265" i="3"/>
  <c r="I436" i="3"/>
  <c r="G499" i="3"/>
  <c r="I499" i="3" s="1"/>
  <c r="J1010" i="3"/>
  <c r="J1059" i="3"/>
  <c r="E1474" i="3"/>
  <c r="J1347" i="3"/>
  <c r="J1425" i="3"/>
  <c r="F235" i="3"/>
  <c r="A314" i="3"/>
  <c r="I396" i="3"/>
  <c r="F730" i="3"/>
  <c r="F1513" i="3"/>
  <c r="F422" i="3"/>
  <c r="F536" i="3"/>
  <c r="G1514" i="3"/>
  <c r="I1514" i="3" s="1"/>
  <c r="F309" i="3"/>
  <c r="A349" i="3"/>
  <c r="F382" i="3"/>
  <c r="G382" i="3" s="1"/>
  <c r="I382" i="3" s="1"/>
  <c r="J386" i="3" s="1"/>
  <c r="I355" i="3" s="1"/>
  <c r="J360" i="3" s="1"/>
  <c r="J352" i="3" s="1"/>
  <c r="A662" i="3"/>
  <c r="G799" i="3"/>
  <c r="I799" i="3" s="1"/>
  <c r="J1178" i="3"/>
  <c r="I1268" i="3"/>
  <c r="J1272" i="3" s="1"/>
  <c r="F1357" i="3"/>
  <c r="F1146" i="3"/>
  <c r="A461" i="3"/>
  <c r="J1094" i="3"/>
  <c r="G902" i="3"/>
  <c r="I902" i="3" s="1"/>
  <c r="A803" i="3"/>
  <c r="A769" i="3"/>
  <c r="A170" i="3"/>
  <c r="A68" i="3"/>
  <c r="F97" i="3"/>
  <c r="G97" i="3" s="1"/>
  <c r="I97" i="3" s="1"/>
  <c r="F1396" i="3"/>
  <c r="G1396" i="3" s="1"/>
  <c r="I1396" i="3" s="1"/>
  <c r="F271" i="3"/>
  <c r="G271" i="3" s="1"/>
  <c r="I271" i="3" s="1"/>
  <c r="F1062" i="3"/>
  <c r="G1062" i="3" s="1"/>
  <c r="I1062" i="3" s="1"/>
  <c r="J1066" i="3" s="1"/>
  <c r="I1031" i="3" s="1"/>
  <c r="J1036" i="3" s="1"/>
  <c r="J1028" i="3" s="1"/>
  <c r="F498" i="3"/>
  <c r="G498" i="3" s="1"/>
  <c r="I498" i="3" s="1"/>
  <c r="J501" i="3" s="1"/>
  <c r="I467" i="3" s="1"/>
  <c r="J472" i="3" s="1"/>
  <c r="J464" i="3" s="1"/>
  <c r="F1474" i="3"/>
  <c r="A136" i="3"/>
  <c r="I1182" i="3"/>
  <c r="F201" i="3"/>
  <c r="F310" i="3"/>
  <c r="G310" i="3" s="1"/>
  <c r="I310" i="3" s="1"/>
  <c r="F457" i="3"/>
  <c r="G457" i="3" s="1"/>
  <c r="I457" i="3" s="1"/>
  <c r="F731" i="3"/>
  <c r="F868" i="3"/>
  <c r="F937" i="3"/>
  <c r="F1358" i="3"/>
  <c r="G1358" i="3" s="1"/>
  <c r="I1358" i="3" s="1"/>
  <c r="F1105" i="3"/>
  <c r="G1105" i="3" s="1"/>
  <c r="I1105" i="3" s="1"/>
  <c r="F833" i="3"/>
  <c r="G833" i="3" s="1"/>
  <c r="I833" i="3" s="1"/>
  <c r="F1147" i="3"/>
  <c r="G1147" i="3" s="1"/>
  <c r="I1147" i="3" s="1"/>
  <c r="F1436" i="3"/>
  <c r="G1436" i="3" s="1"/>
  <c r="I1436" i="3" s="1"/>
  <c r="F765" i="3"/>
  <c r="F1189" i="3"/>
  <c r="G1189" i="3" s="1"/>
  <c r="I1189" i="3" s="1"/>
  <c r="F615" i="3"/>
  <c r="F697" i="3"/>
  <c r="I16" i="1"/>
  <c r="G16" i="1"/>
  <c r="I26" i="1"/>
  <c r="G26" i="1"/>
  <c r="I10" i="1"/>
  <c r="G10" i="1"/>
  <c r="I4" i="1"/>
  <c r="G4" i="1"/>
  <c r="I14" i="1"/>
  <c r="G14" i="1"/>
  <c r="G7" i="1"/>
  <c r="O28" i="5" l="1"/>
  <c r="O27" i="5" s="1"/>
  <c r="M16" i="5"/>
  <c r="M15" i="5" s="1"/>
  <c r="M14" i="5"/>
  <c r="J9" i="5"/>
  <c r="O26" i="5"/>
  <c r="L13" i="5"/>
  <c r="K13" i="5"/>
  <c r="K11" i="5" s="1"/>
  <c r="O23" i="5"/>
  <c r="M18" i="5"/>
  <c r="N16" i="5"/>
  <c r="N15" i="5" s="1"/>
  <c r="J7" i="5"/>
  <c r="J5" i="5" s="1"/>
  <c r="L24" i="5"/>
  <c r="L18" i="5"/>
  <c r="M24" i="5"/>
  <c r="K9" i="5"/>
  <c r="O22" i="5"/>
  <c r="M25" i="5"/>
  <c r="M12" i="5"/>
  <c r="M11" i="5" s="1"/>
  <c r="N28" i="5"/>
  <c r="N27" i="5" s="1"/>
  <c r="K10" i="5"/>
  <c r="I9" i="5"/>
  <c r="I8" i="5" s="1"/>
  <c r="N21" i="5"/>
  <c r="N17" i="5" s="1"/>
  <c r="J10" i="5"/>
  <c r="K19" i="5"/>
  <c r="K17" i="5" s="1"/>
  <c r="I7" i="5"/>
  <c r="I5" i="5" s="1"/>
  <c r="I29" i="5" s="1"/>
  <c r="L12" i="5"/>
  <c r="L14" i="5"/>
  <c r="H7" i="5"/>
  <c r="H5" i="5" s="1"/>
  <c r="H29" i="5" s="1"/>
  <c r="L19" i="5"/>
  <c r="M20" i="5"/>
  <c r="I23" i="4"/>
  <c r="J23" i="4" s="1"/>
  <c r="J22" i="4"/>
  <c r="J14" i="4"/>
  <c r="J26" i="4" s="1"/>
  <c r="J33" i="3"/>
  <c r="I7" i="3" s="1"/>
  <c r="J12" i="3" s="1"/>
  <c r="J4" i="3" s="1"/>
  <c r="G536" i="3"/>
  <c r="I536" i="3" s="1"/>
  <c r="J540" i="3" s="1"/>
  <c r="I508" i="3" s="1"/>
  <c r="J511" i="3" s="1"/>
  <c r="J505" i="3" s="1"/>
  <c r="J700" i="3"/>
  <c r="I668" i="3" s="1"/>
  <c r="J673" i="3" s="1"/>
  <c r="J665" i="3" s="1"/>
  <c r="J268" i="3"/>
  <c r="G273" i="3"/>
  <c r="I273" i="3" s="1"/>
  <c r="J275" i="3" s="1"/>
  <c r="I246" i="3" s="1"/>
  <c r="J251" i="3" s="1"/>
  <c r="J243" i="3" s="1"/>
  <c r="J1400" i="3"/>
  <c r="I1368" i="3" s="1"/>
  <c r="J1373" i="3" s="1"/>
  <c r="J1365" i="3" s="1"/>
  <c r="J101" i="3"/>
  <c r="I74" i="3" s="1"/>
  <c r="J79" i="3" s="1"/>
  <c r="J71" i="3" s="1"/>
  <c r="G167" i="3"/>
  <c r="I167" i="3" s="1"/>
  <c r="J169" i="3" s="1"/>
  <c r="I142" i="3" s="1"/>
  <c r="J147" i="3" s="1"/>
  <c r="J139" i="3" s="1"/>
  <c r="G868" i="3"/>
  <c r="I868" i="3" s="1"/>
  <c r="J871" i="3" s="1"/>
  <c r="I843" i="3" s="1"/>
  <c r="J848" i="3" s="1"/>
  <c r="J840" i="3" s="1"/>
  <c r="G1515" i="3"/>
  <c r="I1515" i="3" s="1"/>
  <c r="G1513" i="3"/>
  <c r="I1513" i="3" s="1"/>
  <c r="G1398" i="3"/>
  <c r="I1398" i="3" s="1"/>
  <c r="J348" i="3"/>
  <c r="I320" i="3" s="1"/>
  <c r="J325" i="3" s="1"/>
  <c r="J317" i="3" s="1"/>
  <c r="L320" i="3" s="1"/>
  <c r="L321" i="3" s="1"/>
  <c r="G937" i="3"/>
  <c r="I937" i="3" s="1"/>
  <c r="J940" i="3" s="1"/>
  <c r="I913" i="3" s="1"/>
  <c r="J918" i="3" s="1"/>
  <c r="J910" i="3" s="1"/>
  <c r="G236" i="3"/>
  <c r="I236" i="3" s="1"/>
  <c r="J802" i="3"/>
  <c r="I775" i="3" s="1"/>
  <c r="J780" i="3" s="1"/>
  <c r="J772" i="3" s="1"/>
  <c r="G730" i="3"/>
  <c r="I730" i="3" s="1"/>
  <c r="J734" i="3" s="1"/>
  <c r="I707" i="3" s="1"/>
  <c r="J712" i="3" s="1"/>
  <c r="J704" i="3" s="1"/>
  <c r="J1320" i="3"/>
  <c r="I1286" i="3" s="1"/>
  <c r="J1291" i="3" s="1"/>
  <c r="J1283" i="3" s="1"/>
  <c r="G938" i="3"/>
  <c r="I938" i="3" s="1"/>
  <c r="J836" i="3"/>
  <c r="I809" i="3" s="1"/>
  <c r="J814" i="3" s="1"/>
  <c r="J806" i="3" s="1"/>
  <c r="G201" i="3"/>
  <c r="I201" i="3" s="1"/>
  <c r="J204" i="3" s="1"/>
  <c r="I176" i="3" s="1"/>
  <c r="J181" i="3" s="1"/>
  <c r="J173" i="3" s="1"/>
  <c r="L176" i="3" s="1"/>
  <c r="L177" i="3" s="1"/>
  <c r="G1357" i="3"/>
  <c r="I1357" i="3" s="1"/>
  <c r="J1361" i="3" s="1"/>
  <c r="I1327" i="3" s="1"/>
  <c r="J1332" i="3" s="1"/>
  <c r="J1324" i="3" s="1"/>
  <c r="G765" i="3"/>
  <c r="I765" i="3" s="1"/>
  <c r="J768" i="3" s="1"/>
  <c r="I741" i="3" s="1"/>
  <c r="J746" i="3" s="1"/>
  <c r="J738" i="3" s="1"/>
  <c r="G309" i="3"/>
  <c r="I309" i="3" s="1"/>
  <c r="J313" i="3" s="1"/>
  <c r="I282" i="3" s="1"/>
  <c r="J287" i="3" s="1"/>
  <c r="J279" i="3" s="1"/>
  <c r="J579" i="3"/>
  <c r="I547" i="3" s="1"/>
  <c r="J550" i="3" s="1"/>
  <c r="J544" i="3" s="1"/>
  <c r="G30" i="3"/>
  <c r="I30" i="3" s="1"/>
  <c r="G731" i="3"/>
  <c r="I731" i="3" s="1"/>
  <c r="G697" i="3"/>
  <c r="I697" i="3" s="1"/>
  <c r="G132" i="3"/>
  <c r="I132" i="3" s="1"/>
  <c r="J135" i="3" s="1"/>
  <c r="I108" i="3" s="1"/>
  <c r="J113" i="3" s="1"/>
  <c r="J105" i="3" s="1"/>
  <c r="G424" i="3"/>
  <c r="I424" i="3" s="1"/>
  <c r="J1234" i="3"/>
  <c r="I1199" i="3" s="1"/>
  <c r="J1204" i="3" s="1"/>
  <c r="J1196" i="3" s="1"/>
  <c r="J1439" i="3"/>
  <c r="I1407" i="3" s="1"/>
  <c r="J1412" i="3" s="1"/>
  <c r="J1404" i="3" s="1"/>
  <c r="J1192" i="3"/>
  <c r="I1157" i="3" s="1"/>
  <c r="J1162" i="3" s="1"/>
  <c r="J1154" i="3" s="1"/>
  <c r="G422" i="3"/>
  <c r="I422" i="3" s="1"/>
  <c r="J426" i="3" s="1"/>
  <c r="I393" i="3" s="1"/>
  <c r="J398" i="3" s="1"/>
  <c r="J390" i="3" s="1"/>
  <c r="J906" i="3"/>
  <c r="I878" i="3" s="1"/>
  <c r="J883" i="3" s="1"/>
  <c r="J875" i="3" s="1"/>
  <c r="J1108" i="3"/>
  <c r="I1073" i="3" s="1"/>
  <c r="J1078" i="3" s="1"/>
  <c r="J1070" i="3" s="1"/>
  <c r="G1146" i="3"/>
  <c r="I1146" i="3" s="1"/>
  <c r="J1150" i="3" s="1"/>
  <c r="I1115" i="3" s="1"/>
  <c r="J1120" i="3" s="1"/>
  <c r="J1112" i="3" s="1"/>
  <c r="G615" i="3"/>
  <c r="I615" i="3" s="1"/>
  <c r="J618" i="3" s="1"/>
  <c r="I586" i="3" s="1"/>
  <c r="J589" i="3" s="1"/>
  <c r="J583" i="3" s="1"/>
  <c r="G1474" i="3"/>
  <c r="I1474" i="3" s="1"/>
  <c r="J1478" i="3" s="1"/>
  <c r="I1446" i="3" s="1"/>
  <c r="J1451" i="3" s="1"/>
  <c r="J1443" i="3" s="1"/>
  <c r="G235" i="3"/>
  <c r="I235" i="3" s="1"/>
  <c r="J239" i="3" s="1"/>
  <c r="I211" i="3" s="1"/>
  <c r="J216" i="3" s="1"/>
  <c r="J208" i="3" s="1"/>
  <c r="L211" i="3" s="1"/>
  <c r="L212" i="3" s="1"/>
  <c r="J67" i="3"/>
  <c r="I40" i="3" s="1"/>
  <c r="J45" i="3" s="1"/>
  <c r="J37" i="3" s="1"/>
  <c r="G980" i="3"/>
  <c r="I980" i="3" s="1"/>
  <c r="J982" i="3" s="1"/>
  <c r="I947" i="3" s="1"/>
  <c r="J952" i="3" s="1"/>
  <c r="J944" i="3" s="1"/>
  <c r="I29" i="1"/>
  <c r="G29" i="1"/>
  <c r="N29" i="5" l="1"/>
  <c r="O17" i="5"/>
  <c r="O29" i="5" s="1"/>
  <c r="K8" i="5"/>
  <c r="K29" i="5" s="1"/>
  <c r="L11" i="5"/>
  <c r="L17" i="5"/>
  <c r="L29" i="5" s="1"/>
  <c r="J8" i="5"/>
  <c r="J29" i="5" s="1"/>
  <c r="M17" i="5"/>
  <c r="M29" i="5" s="1"/>
  <c r="J28" i="4"/>
  <c r="I26" i="4"/>
  <c r="I28" i="4" s="1"/>
  <c r="J1517" i="3"/>
  <c r="I1485" i="3" s="1"/>
  <c r="J1490" i="3" s="1"/>
  <c r="J1482" i="3" s="1"/>
  <c r="G31" i="1"/>
  <c r="G30" i="1"/>
  <c r="G32" i="1" s="1"/>
  <c r="I31" i="1"/>
  <c r="I30" i="1"/>
  <c r="I32" i="1" s="1"/>
  <c r="K32" i="1" s="1"/>
  <c r="H30" i="5" l="1"/>
  <c r="L30" i="5"/>
  <c r="G34" i="1"/>
  <c r="G36" i="1" s="1"/>
  <c r="G43" i="1"/>
  <c r="G44" i="1" s="1"/>
  <c r="G30" i="5" l="1"/>
</calcChain>
</file>

<file path=xl/sharedStrings.xml><?xml version="1.0" encoding="utf-8"?>
<sst xmlns="http://schemas.openxmlformats.org/spreadsheetml/2006/main" count="1993" uniqueCount="261">
  <si>
    <t>AMPLIACIÓN Y OPTIMIZACIÓN DEL SITIO DE DISPOSICIÓN FINAL DE RESIDUOS SOLIDOS DEL CORREGIMIENTO DE SAN MIGUEL EN EL MUNICIPIO DEL MEDIO SAN JUAN MEDIANTE LA EJECUCIÓN DE ACTIVIDADES DE CIERRE - CLAUSURA Y APERTURA DE CELDA DE CONTINGENCIA</t>
  </si>
  <si>
    <t>Ítem</t>
  </si>
  <si>
    <t>Descripción</t>
  </si>
  <si>
    <t>Unidad</t>
  </si>
  <si>
    <t>Cantidad</t>
  </si>
  <si>
    <t>Valor Unitario</t>
  </si>
  <si>
    <t>Valor Parcial</t>
  </si>
  <si>
    <t>Valor Total</t>
  </si>
  <si>
    <t xml:space="preserve">COSTOS DIRECTOS </t>
  </si>
  <si>
    <t>ADMINISTRACION</t>
  </si>
  <si>
    <t>UTILIDAD</t>
  </si>
  <si>
    <t>Total</t>
  </si>
  <si>
    <t>Interventoria</t>
  </si>
  <si>
    <t>Valor total del proyecto</t>
  </si>
  <si>
    <t>MEMORIAS DE CANTIDADES DE LA CONSTRUCCION DE LA VIVIENDA FAMILIAR EN LA ENCHARCAZON - RIO IRO</t>
  </si>
  <si>
    <t>CÁLCULO DE CANTIDADES DE OBRA</t>
  </si>
  <si>
    <t>ID</t>
  </si>
  <si>
    <t>Actividades</t>
  </si>
  <si>
    <t>Ubicacion</t>
  </si>
  <si>
    <t>Cant/Un</t>
  </si>
  <si>
    <t>Medidas Intensivas</t>
  </si>
  <si>
    <t>Medidas Extensivas</t>
  </si>
  <si>
    <t>Des 1</t>
  </si>
  <si>
    <t>Des 2</t>
  </si>
  <si>
    <t>Largo</t>
  </si>
  <si>
    <t>Ancho</t>
  </si>
  <si>
    <t>Prof. 1</t>
  </si>
  <si>
    <t>Peso</t>
  </si>
  <si>
    <t>Alto</t>
  </si>
  <si>
    <t>Perim</t>
  </si>
  <si>
    <t>Area</t>
  </si>
  <si>
    <t>Vol</t>
  </si>
  <si>
    <t>OBRAS PRELIMINARES</t>
  </si>
  <si>
    <t>Localizacion, Trazado y replanteo</t>
  </si>
  <si>
    <t>m2</t>
  </si>
  <si>
    <t>Descapote y limpieza del terreno donde se desarrolla el proyecto. Incluye transporte y disposición final de los materiales.</t>
  </si>
  <si>
    <t>EXCAVACION Y LLENOS</t>
  </si>
  <si>
    <t>EXCAVACIÓN DE MATERIAL HETEROGENEO DE 0-3 m., con material seco. Incluye: roca descompuesta, bolas de roca de volumen inferior a 0.35 m³., el cargue, transporte interno y externo, botada de material proveniente de las excavaciones en los sitios donde lo indique la interventoría y su medida será en el sitio. No incluye entibado.</t>
  </si>
  <si>
    <t>m3</t>
  </si>
  <si>
    <t>LLENO CON MATERIAL SELECCIONADO, compactado mecánicamente hasta obtener una densidad optima. Incluye transporte del material. Su medida será en sitio ya compactado.</t>
  </si>
  <si>
    <t xml:space="preserve">CONSTRUCCION DE FILTROS HORIZONTALES </t>
  </si>
  <si>
    <t xml:space="preserve">Construccion de filtros horizontales para el manejo y control de lixiviados </t>
  </si>
  <si>
    <t>m</t>
  </si>
  <si>
    <t>Excavación en material común para zanjas y filtros de 0 a 2.00 mts.</t>
  </si>
  <si>
    <t xml:space="preserve">m3 </t>
  </si>
  <si>
    <t>piso</t>
  </si>
  <si>
    <t>Suministro, transporte y colocación de material friltrante (gravilla seleccionada de 4 a 6")</t>
  </si>
  <si>
    <t>,</t>
  </si>
  <si>
    <t>Piso</t>
  </si>
  <si>
    <t xml:space="preserve">CONSTRUCCION DE FILTROS VERTICALES </t>
  </si>
  <si>
    <t>Construcción de filtros verticales (chimeneas para el control y evacuación de gases 0.40*0.40*3.00). Incluye canastillas, material friltrante y tuberia de 4" y demas elementos para su instalacion y puesta en funcionamiento</t>
  </si>
  <si>
    <t>UN</t>
  </si>
  <si>
    <t>Und</t>
  </si>
  <si>
    <t>M3</t>
  </si>
  <si>
    <t>Canastilla para empaquetamiento de chimeneas. Incluye malla gallinero y alambre.</t>
  </si>
  <si>
    <t>UND</t>
  </si>
  <si>
    <t xml:space="preserve">OBRAS ADICIONALES </t>
  </si>
  <si>
    <t>Suministro e instalación de la geomembrana Textil HR - 30.000 Espesor 0,75 ml para la impermeabilización</t>
  </si>
  <si>
    <t>Excavación de cunetas para tuberías de lixiviados y pozo de recirculación de lixiviados</t>
  </si>
  <si>
    <t xml:space="preserve">Suministro e instalación de tubería sanitaria de 4" para recolección de lixiviados. </t>
  </si>
  <si>
    <t>M</t>
  </si>
  <si>
    <t xml:space="preserve">Construcción de cuarto de máquinas. </t>
  </si>
  <si>
    <t>Suministro e instalación de moto bomba de 2x2 autocebante para la evacuación de tanques de los lixiviados</t>
  </si>
  <si>
    <t xml:space="preserve">Suministro e instalación de Manguera de 2" Descarga Plana 2 Tipo Bombero. </t>
  </si>
  <si>
    <t xml:space="preserve">Construccion de Caja de inspeccion de 1,0x1,0x1,0 m, en concreto de 21 MPa, Incluye excavacion, formaleta, acero, suministro, transporte e instalación del concreto, mano de obra, vibrado, curado y protección. </t>
  </si>
  <si>
    <t xml:space="preserve">Construccion de tanque de recoleccion y almacenamiento de lixiviados de 2.0x3.0x3.0 m, en concreto de 21 Mpa,  Incluye excavacion, formaleta, acero, suministro, transporte e instalación del concreto, mano de obra, vibrado, curado y protección.  </t>
  </si>
  <si>
    <t xml:space="preserve">Suministro e instalacion de valla informativa </t>
  </si>
  <si>
    <t>CERRAMIENTO PIREMETRAL</t>
  </si>
  <si>
    <t xml:space="preserve">Construcción de cerramiento en alambre de puas </t>
  </si>
  <si>
    <t xml:space="preserve">PRELIMINARES </t>
  </si>
  <si>
    <t xml:space="preserve">Recolección, remoción y compactación de residuos sólidos </t>
  </si>
  <si>
    <t xml:space="preserve">Suministro e instalación de Geotextil </t>
  </si>
  <si>
    <t>M2</t>
  </si>
  <si>
    <t xml:space="preserve">Construcción de sistema de cobertura final mediante suministro e instalación de material seleccionado </t>
  </si>
  <si>
    <t>Instalación de chimenea de de venteo de Biogas</t>
  </si>
  <si>
    <t>Implementación de sistema de manejo de lixiviados</t>
  </si>
  <si>
    <t>Construcción de canales de drenaje pluvial</t>
  </si>
  <si>
    <t xml:space="preserve">Revegetacion de Area clausurada </t>
  </si>
  <si>
    <t xml:space="preserve">ITEM:  </t>
  </si>
  <si>
    <t>DESCRIPCION</t>
  </si>
  <si>
    <t>UNIDAD:</t>
  </si>
  <si>
    <t>COSTO DIRECTO</t>
  </si>
  <si>
    <t>(1SMMLV+ST)</t>
  </si>
  <si>
    <t>día</t>
  </si>
  <si>
    <t>PRESTACIONES</t>
  </si>
  <si>
    <t>SALARIO MINIMO</t>
  </si>
  <si>
    <t xml:space="preserve"> AYUDANTE RASO</t>
  </si>
  <si>
    <t>I. EQUIPO</t>
  </si>
  <si>
    <t>(1,5SMMLV+ST)</t>
  </si>
  <si>
    <t>Tipo</t>
  </si>
  <si>
    <t>Tarifa/dia</t>
  </si>
  <si>
    <t>Rendimiento</t>
  </si>
  <si>
    <t>Valor-Unit.</t>
  </si>
  <si>
    <t>AYUDANTE ENTENDIDO</t>
  </si>
  <si>
    <t>SUBSIDIO DE TRANSPORTE</t>
  </si>
  <si>
    <t>Herramienta menor (% Mano de obra)</t>
  </si>
  <si>
    <t>(2MMLV+ST)</t>
  </si>
  <si>
    <t>OFICIAL A</t>
  </si>
  <si>
    <t>(3MMLV)</t>
  </si>
  <si>
    <t>OFICIAL B</t>
  </si>
  <si>
    <t>Sub-Total</t>
  </si>
  <si>
    <t>II. MATERIALES EN OBRA</t>
  </si>
  <si>
    <t>Precio-Unit.</t>
  </si>
  <si>
    <t>Desperdicio</t>
  </si>
  <si>
    <t>Liston 2" x 2" x 3m</t>
  </si>
  <si>
    <t>Clavos común 2 a 3½"</t>
  </si>
  <si>
    <t>III. TRANSPORTES</t>
  </si>
  <si>
    <t>Material</t>
  </si>
  <si>
    <t>TIPO</t>
  </si>
  <si>
    <t>Vol. Peso ó Cant.</t>
  </si>
  <si>
    <t>Distancia</t>
  </si>
  <si>
    <t>Tarifa</t>
  </si>
  <si>
    <t>IV. MANO DE OBRA</t>
  </si>
  <si>
    <t>Trabajador</t>
  </si>
  <si>
    <t>Jornal</t>
  </si>
  <si>
    <t>Prestaciones</t>
  </si>
  <si>
    <t>Jornal Total</t>
  </si>
  <si>
    <t xml:space="preserve">RETRO EXCAVADORA </t>
  </si>
  <si>
    <t>TRANSPORTE DISPOSICION DE MATERIAL SOBRANTE</t>
  </si>
  <si>
    <t>Material seleccionado</t>
  </si>
  <si>
    <t>CANGURO</t>
  </si>
  <si>
    <t>Geotextil NT 1600s</t>
  </si>
  <si>
    <t>Gravilla - revoltura</t>
  </si>
  <si>
    <t>Malla para gallinero, ancho 1.50m</t>
  </si>
  <si>
    <t>Alambre Quemado</t>
  </si>
  <si>
    <t>Geomembrana textil HR 30.000</t>
  </si>
  <si>
    <t>TRANSPORTE DESDE MEDELLIN</t>
  </si>
  <si>
    <t xml:space="preserve">PULIDORA </t>
  </si>
  <si>
    <t>Tubo sanitario 4"</t>
  </si>
  <si>
    <t>Unión sanitaria 4"</t>
  </si>
  <si>
    <t>Soldadura líquida  1/4"</t>
  </si>
  <si>
    <t>Limpiador x 1/4</t>
  </si>
  <si>
    <t>Estopa pequeña</t>
  </si>
  <si>
    <t>TRANSPORTE DESDE ISTMINA</t>
  </si>
  <si>
    <t xml:space="preserve">TALADRO </t>
  </si>
  <si>
    <t>Ladrillo 10x15x30cm</t>
  </si>
  <si>
    <t>Mortero 1:4</t>
  </si>
  <si>
    <t>Lámina de policarbonato de 6mm</t>
  </si>
  <si>
    <t>Concreto 3000 Psi (21 Mpa)</t>
  </si>
  <si>
    <t>Impermeabilizante</t>
  </si>
  <si>
    <t>TRANSPORTE INTERNO</t>
  </si>
  <si>
    <t>Motobomba 2x2</t>
  </si>
  <si>
    <t xml:space="preserve">Cable encauchetado 3x12 AWG libre de halogenos </t>
  </si>
  <si>
    <t>Manguera de 2"</t>
  </si>
  <si>
    <t>Varillas 1/2"</t>
  </si>
  <si>
    <t>Excavacion</t>
  </si>
  <si>
    <t>Formaleta en madera común</t>
  </si>
  <si>
    <t>Valla Informativa</t>
  </si>
  <si>
    <t>Alambre de púa calibre 14.5 x 125m</t>
  </si>
  <si>
    <t>ANDAMIO 2 CUERPOS</t>
  </si>
  <si>
    <t>chimenea de de venteo de Biogas</t>
  </si>
  <si>
    <t>Grama tipo macana</t>
  </si>
  <si>
    <t>Tierra abonada - Forza 4kg, medidas 40x28x20cm</t>
  </si>
  <si>
    <t>Escoba</t>
  </si>
  <si>
    <t>Trapero</t>
  </si>
  <si>
    <t>Bolsas de basura</t>
  </si>
  <si>
    <t>Balde</t>
  </si>
  <si>
    <t xml:space="preserve">Detergente </t>
  </si>
  <si>
    <t>VIBRADOR PARA CONCRETO</t>
  </si>
  <si>
    <t>Angulo 2 x 1/4" x 6m</t>
  </si>
  <si>
    <t>TRANSPORTE DESDE APARTADO</t>
  </si>
  <si>
    <t xml:space="preserve">BOMBA DE PRUEBA HIDROSTATICA </t>
  </si>
  <si>
    <t>Tubería PVC-P 500Psi - 1/2"</t>
  </si>
  <si>
    <t>Unión presión 1/2"</t>
  </si>
  <si>
    <t>Codo presión 1/2"</t>
  </si>
  <si>
    <t>Tee presión 1/2"</t>
  </si>
  <si>
    <t>Tubería PVC-P 400PSI 3/4"</t>
  </si>
  <si>
    <t>Unión presión 3/4"</t>
  </si>
  <si>
    <t>Codo presión 3/4"</t>
  </si>
  <si>
    <t>Tee presión 3/4"</t>
  </si>
  <si>
    <t>Tubería PVC-P 315Psi - 1"</t>
  </si>
  <si>
    <t>Unión presión 1"</t>
  </si>
  <si>
    <t>Codo presión 1"</t>
  </si>
  <si>
    <t>Tee presión 1"</t>
  </si>
  <si>
    <t>Tubo sanitario 2"</t>
  </si>
  <si>
    <t>Codo sanitario 2"</t>
  </si>
  <si>
    <t>Unión sanitaria 2"</t>
  </si>
  <si>
    <t>Yee sanitaria 2"</t>
  </si>
  <si>
    <t>Codo sanitario 4"</t>
  </si>
  <si>
    <t>Yee sanitaria 4"</t>
  </si>
  <si>
    <t>Sanitario</t>
  </si>
  <si>
    <t>Poliuretano 100% Blanco</t>
  </si>
  <si>
    <t>Lavamanos</t>
  </si>
  <si>
    <t>Griferia sencilla</t>
  </si>
  <si>
    <t>Regulación metálica doble salida, marca corona</t>
  </si>
  <si>
    <t>Sifón flexible metalizado, marca corona</t>
  </si>
  <si>
    <t>Válvula de cheque</t>
  </si>
  <si>
    <t>Tanque de 2000litros</t>
  </si>
  <si>
    <t>Universal PVC lisa 3/4"</t>
  </si>
  <si>
    <t xml:space="preserve">Adaptador Tanque De Agua 1pulg - Flanche M.H. </t>
  </si>
  <si>
    <t>Flotador tanque 1/2" economico 100 Psi</t>
  </si>
  <si>
    <t>Motobomba 1 hp</t>
  </si>
  <si>
    <t>Válvula de bola de 1"</t>
  </si>
  <si>
    <t>Tubería PVC-P 315Psi 1"</t>
  </si>
  <si>
    <t>Tanque séptico  rotoplas</t>
  </si>
  <si>
    <t xml:space="preserve">Ventana tipo protector </t>
  </si>
  <si>
    <t>Divisiones en acero inoxidable</t>
  </si>
  <si>
    <t>Sikasil E - silicona antihongos 300ml</t>
  </si>
  <si>
    <t>Total Costo directo de Obra</t>
  </si>
  <si>
    <t>Costos de administración de obra</t>
  </si>
  <si>
    <t>Duracion</t>
  </si>
  <si>
    <t>FP</t>
  </si>
  <si>
    <t>Participacion</t>
  </si>
  <si>
    <t>Vr. Unitario</t>
  </si>
  <si>
    <t>Vr. Total</t>
  </si>
  <si>
    <t>Personal de obra</t>
  </si>
  <si>
    <t>1.1</t>
  </si>
  <si>
    <t>1.Director de obra</t>
  </si>
  <si>
    <t>mes</t>
  </si>
  <si>
    <t>1.2</t>
  </si>
  <si>
    <t xml:space="preserve">1.Residente de obra </t>
  </si>
  <si>
    <t xml:space="preserve">Gastos Operacionales </t>
  </si>
  <si>
    <t>2.1</t>
  </si>
  <si>
    <t>Almace/Bodega</t>
  </si>
  <si>
    <t>2.2</t>
  </si>
  <si>
    <t>Transporte</t>
  </si>
  <si>
    <t>IMPUESTOS MUNICIPALES</t>
  </si>
  <si>
    <t>3.1</t>
  </si>
  <si>
    <t xml:space="preserve">Retencion en la Fuente </t>
  </si>
  <si>
    <t>und</t>
  </si>
  <si>
    <t>3.2</t>
  </si>
  <si>
    <t xml:space="preserve">Estampilla Prodeporte </t>
  </si>
  <si>
    <t>3.3</t>
  </si>
  <si>
    <t>Estampilla Procultura</t>
  </si>
  <si>
    <t>3.4</t>
  </si>
  <si>
    <t>Estampilla Proelectrificacion</t>
  </si>
  <si>
    <t>3.5</t>
  </si>
  <si>
    <t xml:space="preserve">Estampilla Pro Bienestar Adulto mayor </t>
  </si>
  <si>
    <t>3.6</t>
  </si>
  <si>
    <t>Estampilla Pro Universidad</t>
  </si>
  <si>
    <t>3.7</t>
  </si>
  <si>
    <t>Estampilla Pro  Justicia</t>
  </si>
  <si>
    <t>3.8</t>
  </si>
  <si>
    <t>Industria y Comercio (ICA)</t>
  </si>
  <si>
    <t>3.9</t>
  </si>
  <si>
    <t>Sobretasa Bomberil</t>
  </si>
  <si>
    <t>6% (ICA)</t>
  </si>
  <si>
    <t>3.10</t>
  </si>
  <si>
    <t>Impuesto Fondo de Seguridad (FONSET)</t>
  </si>
  <si>
    <t>Administración</t>
  </si>
  <si>
    <t>Utilidad</t>
  </si>
  <si>
    <t>Total AU</t>
  </si>
  <si>
    <t>CRONOGRAMA</t>
  </si>
  <si>
    <t>Capitulo</t>
  </si>
  <si>
    <t>Descripción de la actividad</t>
  </si>
  <si>
    <t>Duración (Semanas)</t>
  </si>
  <si>
    <t>Costo</t>
  </si>
  <si>
    <t>MES 1</t>
  </si>
  <si>
    <t>MES 2</t>
  </si>
  <si>
    <t>S1</t>
  </si>
  <si>
    <t>S2</t>
  </si>
  <si>
    <t>S3</t>
  </si>
  <si>
    <t>S4</t>
  </si>
  <si>
    <t>MOVIMIENTO DE TIERRAS</t>
  </si>
  <si>
    <t>Excavaciones Varias sin Clasificar (incluye transporte</t>
  </si>
  <si>
    <t>PAVIMENTO HIDRAULICO</t>
  </si>
  <si>
    <t>Pavimento de Concreto Rigido MR=38kg/cm2</t>
  </si>
  <si>
    <t>SEÑALIZACIÓN</t>
  </si>
  <si>
    <t>Línea de Demarcación con Pintura en Frío.</t>
  </si>
  <si>
    <t>TOTALES POR SEMANA</t>
  </si>
  <si>
    <t>TOTALES POR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</si>
</sst>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&quot;$&quot;#,##0.00"/>
    <numFmt numFmtId="166" formatCode="&quot;$&quot;#,##0"/>
    <numFmt numFmtId="167" formatCode="_-&quot;$&quot;\ * #,##0_-;\-&quot;$&quot;\ * #,##0_-;_-&quot;$&quot;\ * &quot;-&quot;??_-;_-@_-"/>
    <numFmt numFmtId="168" formatCode="#,##0.00\ _€"/>
    <numFmt numFmtId="169" formatCode="_(&quot;$&quot;\ * #,##0_);_(&quot;$&quot;\ * \(#,##0\);_(&quot;$&quot;\ * &quot;-&quot;??_);_(@_)"/>
    <numFmt numFmtId="170" formatCode="#,##0.000"/>
    <numFmt numFmtId="171" formatCode="#,##0.0"/>
    <numFmt numFmtId="172" formatCode="_-* #,##0.00\ &quot;Pts&quot;_-;\-* #,##0.00\ &quot;Pts&quot;_-;_-* &quot;-&quot;??\ &quot;Pts&quot;_-;_-@_-"/>
    <numFmt numFmtId="173" formatCode="&quot;$&quot;\ #,##0.00"/>
    <numFmt numFmtId="174" formatCode="#,##0.000\ _€"/>
    <numFmt numFmtId="175" formatCode="0.000"/>
    <numFmt numFmtId="176" formatCode="0.0"/>
    <numFmt numFmtId="177" formatCode="0.0%"/>
    <numFmt numFmtId="178" formatCode="[$$-240A]\ #,##0.00"/>
    <numFmt numFmtId="179" formatCode="[$$-240A]\ #,##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indexed="8"/>
      <name val="Calibri"/>
      <family val="2"/>
    </font>
    <font>
      <sz val="12"/>
      <color indexed="8"/>
      <name val="Arial Narrow"/>
      <family val="2"/>
    </font>
    <font>
      <b/>
      <sz val="14"/>
      <color indexed="8"/>
      <name val="Arial Narrow"/>
      <family val="2"/>
    </font>
    <font>
      <b/>
      <sz val="12"/>
      <color indexed="8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2"/>
      <color rgb="FFFF0000"/>
      <name val="Arial Narrow"/>
      <family val="2"/>
    </font>
    <font>
      <b/>
      <sz val="12"/>
      <color theme="1"/>
      <name val="Arial Narrow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i/>
      <sz val="11"/>
      <color theme="0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11"/>
      <color indexed="8"/>
      <name val="Calibri"/>
      <family val="2"/>
    </font>
    <font>
      <b/>
      <sz val="8"/>
      <color indexed="8"/>
      <name val="Calibri"/>
      <family val="2"/>
    </font>
    <font>
      <sz val="9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6"/>
      <color theme="1"/>
      <name val="Arial Narrow"/>
      <family val="2"/>
    </font>
    <font>
      <b/>
      <sz val="16"/>
      <color theme="1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b/>
      <sz val="14"/>
      <name val="Arial Narrow"/>
      <family val="2"/>
    </font>
    <font>
      <sz val="11"/>
      <color rgb="FF000000"/>
      <name val="Calibri"/>
      <family val="2"/>
      <charset val="204"/>
    </font>
    <font>
      <sz val="10"/>
      <name val="MS Sans Serif"/>
      <family val="2"/>
    </font>
    <font>
      <sz val="16"/>
      <color rgb="FFFF0000"/>
      <name val="Arial Narrow"/>
      <family val="2"/>
    </font>
    <font>
      <b/>
      <sz val="16"/>
      <color theme="1"/>
      <name val="Aptos Narrow"/>
      <family val="2"/>
    </font>
    <font>
      <sz val="12"/>
      <color theme="1"/>
      <name val="Aptos Narrow"/>
      <family val="2"/>
    </font>
    <font>
      <b/>
      <sz val="12"/>
      <color theme="1"/>
      <name val="Aptos Narrow"/>
      <family val="2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8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2">
    <xf numFmtId="0" fontId="0" fillId="0" borderId="0"/>
    <xf numFmtId="164" fontId="4" fillId="0" borderId="0" applyFont="0" applyFill="0" applyBorder="0" applyAlignment="0" applyProtection="0"/>
    <xf numFmtId="42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72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1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35" fillId="0" borderId="0"/>
  </cellStyleXfs>
  <cellXfs count="511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2" fontId="5" fillId="0" borderId="0" xfId="1" applyNumberFormat="1" applyFont="1" applyFill="1" applyAlignment="1">
      <alignment horizontal="center" vertical="center"/>
    </xf>
    <xf numFmtId="1" fontId="3" fillId="0" borderId="0" xfId="0" applyNumberFormat="1" applyFont="1" applyAlignment="1">
      <alignment vertical="center"/>
    </xf>
    <xf numFmtId="165" fontId="3" fillId="0" borderId="0" xfId="0" applyNumberFormat="1" applyFont="1" applyAlignment="1">
      <alignment vertical="center"/>
    </xf>
    <xf numFmtId="166" fontId="3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justify" vertical="center"/>
    </xf>
    <xf numFmtId="0" fontId="7" fillId="0" borderId="5" xfId="0" applyFont="1" applyBorder="1" applyAlignment="1">
      <alignment horizontal="center" vertical="center"/>
    </xf>
    <xf numFmtId="2" fontId="7" fillId="0" borderId="5" xfId="0" applyNumberFormat="1" applyFont="1" applyBorder="1" applyAlignment="1">
      <alignment horizontal="center" vertical="center" wrapText="1"/>
    </xf>
    <xf numFmtId="1" fontId="7" fillId="0" borderId="5" xfId="0" applyNumberFormat="1" applyFont="1" applyBorder="1" applyAlignment="1">
      <alignment horizontal="center" vertical="center" wrapText="1"/>
    </xf>
    <xf numFmtId="165" fontId="7" fillId="0" borderId="6" xfId="0" applyNumberFormat="1" applyFont="1" applyBorder="1" applyAlignment="1">
      <alignment horizontal="center" vertical="center" wrapText="1"/>
    </xf>
    <xf numFmtId="166" fontId="5" fillId="0" borderId="7" xfId="0" applyNumberFormat="1" applyFont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 wrapText="1"/>
    </xf>
    <xf numFmtId="164" fontId="3" fillId="0" borderId="0" xfId="1" applyFont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justify" vertical="center"/>
    </xf>
    <xf numFmtId="0" fontId="9" fillId="2" borderId="11" xfId="0" applyFont="1" applyFill="1" applyBorder="1" applyAlignment="1">
      <alignment horizontal="center" vertical="center"/>
    </xf>
    <xf numFmtId="2" fontId="9" fillId="2" borderId="11" xfId="1" applyNumberFormat="1" applyFont="1" applyFill="1" applyBorder="1" applyAlignment="1">
      <alignment horizontal="center" vertical="center"/>
    </xf>
    <xf numFmtId="165" fontId="7" fillId="2" borderId="12" xfId="0" applyNumberFormat="1" applyFont="1" applyFill="1" applyBorder="1" applyAlignment="1">
      <alignment vertical="center"/>
    </xf>
    <xf numFmtId="166" fontId="8" fillId="0" borderId="0" xfId="0" applyNumberFormat="1" applyFont="1" applyAlignment="1">
      <alignment vertical="center"/>
    </xf>
    <xf numFmtId="165" fontId="8" fillId="0" borderId="13" xfId="0" applyNumberFormat="1" applyFont="1" applyBorder="1" applyAlignment="1">
      <alignment vertical="center"/>
    </xf>
    <xf numFmtId="0" fontId="10" fillId="0" borderId="0" xfId="0" applyFont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justify" vertical="center"/>
    </xf>
    <xf numFmtId="0" fontId="3" fillId="0" borderId="14" xfId="0" applyFont="1" applyBorder="1" applyAlignment="1">
      <alignment horizontal="center" vertical="center"/>
    </xf>
    <xf numFmtId="2" fontId="3" fillId="0" borderId="14" xfId="0" applyNumberFormat="1" applyFont="1" applyBorder="1" applyAlignment="1">
      <alignment horizontal="center" vertical="center"/>
    </xf>
    <xf numFmtId="165" fontId="9" fillId="0" borderId="11" xfId="1" applyNumberFormat="1" applyFont="1" applyFill="1" applyBorder="1" applyAlignment="1">
      <alignment vertical="center"/>
    </xf>
    <xf numFmtId="165" fontId="3" fillId="0" borderId="12" xfId="1" applyNumberFormat="1" applyFont="1" applyFill="1" applyBorder="1" applyAlignment="1">
      <alignment vertical="center"/>
    </xf>
    <xf numFmtId="166" fontId="10" fillId="0" borderId="0" xfId="0" applyNumberFormat="1" applyFont="1" applyAlignment="1">
      <alignment vertical="center"/>
    </xf>
    <xf numFmtId="165" fontId="10" fillId="0" borderId="15" xfId="0" applyNumberFormat="1" applyFont="1" applyBorder="1" applyAlignment="1">
      <alignment vertical="center"/>
    </xf>
    <xf numFmtId="165" fontId="10" fillId="0" borderId="0" xfId="0" applyNumberFormat="1" applyFont="1" applyAlignment="1">
      <alignment vertical="center"/>
    </xf>
    <xf numFmtId="0" fontId="5" fillId="0" borderId="9" xfId="0" applyFont="1" applyBorder="1" applyAlignment="1">
      <alignment horizontal="center" vertical="center"/>
    </xf>
    <xf numFmtId="166" fontId="9" fillId="0" borderId="0" xfId="0" applyNumberFormat="1" applyFont="1" applyAlignment="1">
      <alignment vertical="center"/>
    </xf>
    <xf numFmtId="165" fontId="9" fillId="0" borderId="15" xfId="0" applyNumberFormat="1" applyFont="1" applyBorder="1" applyAlignment="1">
      <alignment vertical="center"/>
    </xf>
    <xf numFmtId="0" fontId="9" fillId="2" borderId="16" xfId="0" applyFont="1" applyFill="1" applyBorder="1" applyAlignment="1">
      <alignment horizontal="center" vertical="center"/>
    </xf>
    <xf numFmtId="4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165" fontId="8" fillId="0" borderId="12" xfId="0" applyNumberFormat="1" applyFont="1" applyBorder="1" applyAlignment="1">
      <alignment vertical="center"/>
    </xf>
    <xf numFmtId="166" fontId="5" fillId="0" borderId="0" xfId="0" applyNumberFormat="1" applyFont="1" applyAlignment="1">
      <alignment vertical="center"/>
    </xf>
    <xf numFmtId="165" fontId="8" fillId="0" borderId="15" xfId="0" applyNumberFormat="1" applyFont="1" applyBorder="1" applyAlignment="1">
      <alignment vertical="center"/>
    </xf>
    <xf numFmtId="166" fontId="11" fillId="0" borderId="0" xfId="0" applyNumberFormat="1" applyFont="1" applyAlignment="1">
      <alignment vertical="center"/>
    </xf>
    <xf numFmtId="165" fontId="11" fillId="0" borderId="15" xfId="0" applyNumberFormat="1" applyFont="1" applyBorder="1" applyAlignment="1">
      <alignment vertical="center"/>
    </xf>
    <xf numFmtId="0" fontId="7" fillId="3" borderId="9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4" fontId="9" fillId="3" borderId="11" xfId="0" applyNumberFormat="1" applyFont="1" applyFill="1" applyBorder="1" applyAlignment="1">
      <alignment horizontal="center" vertical="center"/>
    </xf>
    <xf numFmtId="2" fontId="9" fillId="3" borderId="11" xfId="0" applyNumberFormat="1" applyFont="1" applyFill="1" applyBorder="1" applyAlignment="1">
      <alignment horizontal="center" vertical="center"/>
    </xf>
    <xf numFmtId="0" fontId="9" fillId="0" borderId="9" xfId="4" applyFont="1" applyBorder="1" applyAlignment="1">
      <alignment horizontal="center" vertical="center"/>
    </xf>
    <xf numFmtId="164" fontId="3" fillId="0" borderId="0" xfId="1" applyFont="1" applyFill="1" applyAlignment="1">
      <alignment vertical="center"/>
    </xf>
    <xf numFmtId="0" fontId="9" fillId="0" borderId="0" xfId="0" applyFont="1" applyAlignment="1">
      <alignment vertical="center"/>
    </xf>
    <xf numFmtId="0" fontId="9" fillId="0" borderId="14" xfId="0" applyFont="1" applyBorder="1" applyAlignment="1">
      <alignment horizontal="justify" vertical="center"/>
    </xf>
    <xf numFmtId="0" fontId="9" fillId="0" borderId="14" xfId="0" applyFont="1" applyBorder="1" applyAlignment="1">
      <alignment horizontal="center" vertical="center"/>
    </xf>
    <xf numFmtId="2" fontId="9" fillId="0" borderId="14" xfId="0" applyNumberFormat="1" applyFont="1" applyBorder="1" applyAlignment="1">
      <alignment horizontal="center" vertical="center"/>
    </xf>
    <xf numFmtId="165" fontId="9" fillId="0" borderId="12" xfId="1" applyNumberFormat="1" applyFont="1" applyFill="1" applyBorder="1" applyAlignment="1">
      <alignment vertical="center"/>
    </xf>
    <xf numFmtId="164" fontId="9" fillId="0" borderId="0" xfId="1" applyFont="1" applyFill="1" applyAlignment="1">
      <alignment vertical="center"/>
    </xf>
    <xf numFmtId="0" fontId="8" fillId="2" borderId="11" xfId="0" applyFont="1" applyFill="1" applyBorder="1" applyAlignment="1">
      <alignment horizontal="justify" vertical="center"/>
    </xf>
    <xf numFmtId="164" fontId="9" fillId="3" borderId="11" xfId="1" applyFont="1" applyFill="1" applyBorder="1" applyAlignment="1">
      <alignment horizontal="center" vertical="center"/>
    </xf>
    <xf numFmtId="165" fontId="8" fillId="0" borderId="11" xfId="0" applyNumberFormat="1" applyFont="1" applyBorder="1" applyAlignment="1">
      <alignment vertical="center"/>
    </xf>
    <xf numFmtId="0" fontId="3" fillId="0" borderId="11" xfId="0" applyFont="1" applyBorder="1" applyAlignment="1">
      <alignment horizontal="justify" vertical="center"/>
    </xf>
    <xf numFmtId="0" fontId="3" fillId="0" borderId="11" xfId="0" applyFont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/>
    </xf>
    <xf numFmtId="165" fontId="9" fillId="0" borderId="0" xfId="0" applyNumberFormat="1" applyFont="1" applyAlignment="1">
      <alignment vertical="center"/>
    </xf>
    <xf numFmtId="0" fontId="5" fillId="0" borderId="17" xfId="0" applyFont="1" applyBorder="1" applyAlignment="1">
      <alignment horizontal="center" vertical="center"/>
    </xf>
    <xf numFmtId="0" fontId="9" fillId="0" borderId="0" xfId="5" applyFont="1" applyAlignment="1">
      <alignment horizontal="justify" vertical="center" wrapText="1"/>
    </xf>
    <xf numFmtId="0" fontId="9" fillId="0" borderId="0" xfId="5" applyFont="1" applyAlignment="1">
      <alignment horizontal="center" vertical="center" wrapText="1"/>
    </xf>
    <xf numFmtId="4" fontId="9" fillId="0" borderId="0" xfId="0" applyNumberFormat="1" applyFont="1" applyAlignment="1">
      <alignment horizontal="center" vertical="center"/>
    </xf>
    <xf numFmtId="166" fontId="9" fillId="0" borderId="0" xfId="1" applyNumberFormat="1" applyFont="1" applyFill="1" applyBorder="1" applyAlignment="1">
      <alignment vertical="center"/>
    </xf>
    <xf numFmtId="165" fontId="9" fillId="0" borderId="15" xfId="1" applyNumberFormat="1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165" fontId="8" fillId="0" borderId="8" xfId="0" applyNumberFormat="1" applyFont="1" applyBorder="1" applyAlignment="1">
      <alignment vertical="center"/>
    </xf>
    <xf numFmtId="164" fontId="3" fillId="0" borderId="0" xfId="1" applyFont="1" applyAlignment="1">
      <alignment vertical="center"/>
    </xf>
    <xf numFmtId="2" fontId="8" fillId="0" borderId="2" xfId="0" applyNumberFormat="1" applyFont="1" applyBorder="1" applyAlignment="1">
      <alignment horizontal="center" vertical="center"/>
    </xf>
    <xf numFmtId="9" fontId="8" fillId="0" borderId="2" xfId="3" applyFont="1" applyBorder="1" applyAlignment="1">
      <alignment horizontal="center" vertical="center"/>
    </xf>
    <xf numFmtId="165" fontId="9" fillId="0" borderId="8" xfId="0" applyNumberFormat="1" applyFont="1" applyBorder="1" applyAlignment="1">
      <alignment vertical="center"/>
    </xf>
    <xf numFmtId="165" fontId="9" fillId="0" borderId="12" xfId="0" applyNumberFormat="1" applyFont="1" applyBorder="1" applyAlignment="1">
      <alignment vertical="center"/>
    </xf>
    <xf numFmtId="0" fontId="8" fillId="0" borderId="1" xfId="0" applyFont="1" applyBorder="1" applyAlignment="1">
      <alignment horizontal="justify" vertical="center"/>
    </xf>
    <xf numFmtId="0" fontId="9" fillId="0" borderId="2" xfId="0" applyFont="1" applyBorder="1" applyAlignment="1">
      <alignment horizontal="center" vertical="center"/>
    </xf>
    <xf numFmtId="2" fontId="9" fillId="0" borderId="2" xfId="1" applyNumberFormat="1" applyFont="1" applyFill="1" applyBorder="1" applyAlignment="1">
      <alignment horizontal="center" vertical="center"/>
    </xf>
    <xf numFmtId="9" fontId="8" fillId="0" borderId="2" xfId="3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166" fontId="9" fillId="0" borderId="19" xfId="0" applyNumberFormat="1" applyFont="1" applyBorder="1" applyAlignment="1">
      <alignment vertical="center"/>
    </xf>
    <xf numFmtId="44" fontId="3" fillId="0" borderId="0" xfId="0" applyNumberFormat="1" applyFont="1" applyAlignment="1">
      <alignment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/>
    </xf>
    <xf numFmtId="2" fontId="9" fillId="0" borderId="0" xfId="1" applyNumberFormat="1" applyFont="1" applyFill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9" fillId="0" borderId="0" xfId="0" applyFont="1" applyAlignment="1">
      <alignment horizontal="justify" vertical="center"/>
    </xf>
    <xf numFmtId="9" fontId="9" fillId="0" borderId="0" xfId="3" applyFont="1" applyFill="1" applyAlignment="1">
      <alignment horizontal="center" vertical="center"/>
    </xf>
    <xf numFmtId="0" fontId="5" fillId="0" borderId="0" xfId="0" applyFont="1" applyAlignment="1">
      <alignment horizontal="justify" vertical="center"/>
    </xf>
    <xf numFmtId="1" fontId="5" fillId="0" borderId="0" xfId="0" applyNumberFormat="1" applyFont="1" applyAlignment="1">
      <alignment vertical="center"/>
    </xf>
    <xf numFmtId="165" fontId="5" fillId="0" borderId="0" xfId="0" applyNumberFormat="1" applyFont="1" applyAlignment="1">
      <alignment vertical="center"/>
    </xf>
    <xf numFmtId="164" fontId="5" fillId="0" borderId="0" xfId="1" applyFont="1" applyFill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1" fillId="0" borderId="0" xfId="6"/>
    <xf numFmtId="0" fontId="1" fillId="0" borderId="0" xfId="6" applyAlignment="1">
      <alignment horizontal="center" vertical="center"/>
    </xf>
    <xf numFmtId="0" fontId="0" fillId="0" borderId="0" xfId="6" applyFont="1"/>
    <xf numFmtId="0" fontId="15" fillId="0" borderId="25" xfId="6" applyFont="1" applyBorder="1" applyAlignment="1">
      <alignment horizontal="center" vertical="center"/>
    </xf>
    <xf numFmtId="0" fontId="15" fillId="0" borderId="26" xfId="6" applyFont="1" applyBorder="1" applyAlignment="1">
      <alignment horizontal="center" vertical="center"/>
    </xf>
    <xf numFmtId="0" fontId="16" fillId="0" borderId="26" xfId="6" applyFont="1" applyBorder="1" applyAlignment="1">
      <alignment horizontal="center" vertical="center" wrapText="1"/>
    </xf>
    <xf numFmtId="0" fontId="17" fillId="0" borderId="26" xfId="6" applyFont="1" applyBorder="1" applyAlignment="1">
      <alignment horizontal="center" vertical="center" wrapText="1"/>
    </xf>
    <xf numFmtId="0" fontId="15" fillId="0" borderId="0" xfId="6" applyFont="1" applyAlignment="1">
      <alignment horizontal="center" vertical="center"/>
    </xf>
    <xf numFmtId="0" fontId="1" fillId="0" borderId="0" xfId="6" applyAlignment="1">
      <alignment vertical="center"/>
    </xf>
    <xf numFmtId="0" fontId="15" fillId="0" borderId="1" xfId="6" applyFont="1" applyBorder="1" applyAlignment="1">
      <alignment horizontal="center" vertical="center"/>
    </xf>
    <xf numFmtId="0" fontId="15" fillId="0" borderId="2" xfId="6" applyFont="1" applyBorder="1" applyAlignment="1">
      <alignment horizontal="justify" vertical="center" wrapText="1"/>
    </xf>
    <xf numFmtId="0" fontId="15" fillId="0" borderId="2" xfId="6" applyFont="1" applyBorder="1" applyAlignment="1">
      <alignment horizontal="center" vertical="center" wrapText="1"/>
    </xf>
    <xf numFmtId="0" fontId="1" fillId="0" borderId="2" xfId="6" applyBorder="1" applyAlignment="1">
      <alignment horizontal="center" vertical="center"/>
    </xf>
    <xf numFmtId="0" fontId="1" fillId="0" borderId="28" xfId="6" applyBorder="1" applyAlignment="1">
      <alignment horizontal="center" vertical="center"/>
    </xf>
    <xf numFmtId="0" fontId="1" fillId="0" borderId="2" xfId="6" applyBorder="1"/>
    <xf numFmtId="0" fontId="1" fillId="0" borderId="3" xfId="6" applyBorder="1"/>
    <xf numFmtId="0" fontId="15" fillId="0" borderId="29" xfId="6" applyFont="1" applyBorder="1" applyAlignment="1">
      <alignment horizontal="center" vertical="center"/>
    </xf>
    <xf numFmtId="0" fontId="15" fillId="0" borderId="7" xfId="6" applyFont="1" applyBorder="1" applyAlignment="1">
      <alignment horizontal="justify" vertical="center" wrapText="1"/>
    </xf>
    <xf numFmtId="0" fontId="15" fillId="0" borderId="7" xfId="6" applyFont="1" applyBorder="1" applyAlignment="1">
      <alignment horizontal="center" vertical="center" wrapText="1"/>
    </xf>
    <xf numFmtId="0" fontId="1" fillId="0" borderId="7" xfId="6" applyBorder="1" applyAlignment="1">
      <alignment horizontal="center" vertical="center"/>
    </xf>
    <xf numFmtId="0" fontId="1" fillId="0" borderId="7" xfId="6" applyBorder="1"/>
    <xf numFmtId="0" fontId="1" fillId="0" borderId="30" xfId="6" applyBorder="1"/>
    <xf numFmtId="0" fontId="18" fillId="0" borderId="22" xfId="6" applyFont="1" applyBorder="1" applyAlignment="1">
      <alignment horizontal="center" vertical="center"/>
    </xf>
    <xf numFmtId="0" fontId="18" fillId="0" borderId="23" xfId="6" applyFont="1" applyBorder="1" applyAlignment="1">
      <alignment horizontal="center" vertical="center" wrapText="1"/>
    </xf>
    <xf numFmtId="0" fontId="18" fillId="0" borderId="24" xfId="6" applyFont="1" applyBorder="1" applyAlignment="1">
      <alignment horizontal="center" vertical="center"/>
    </xf>
    <xf numFmtId="0" fontId="15" fillId="0" borderId="34" xfId="6" applyFont="1" applyBorder="1" applyAlignment="1">
      <alignment horizontal="center" vertical="center"/>
    </xf>
    <xf numFmtId="0" fontId="15" fillId="0" borderId="35" xfId="6" applyFont="1" applyBorder="1" applyAlignment="1">
      <alignment horizontal="justify" vertical="center" wrapText="1"/>
    </xf>
    <xf numFmtId="0" fontId="15" fillId="0" borderId="11" xfId="6" applyFont="1" applyBorder="1" applyAlignment="1">
      <alignment horizontal="justify" vertical="center" wrapText="1"/>
    </xf>
    <xf numFmtId="0" fontId="16" fillId="0" borderId="35" xfId="7" applyFont="1" applyBorder="1" applyAlignment="1">
      <alignment horizontal="center" vertical="center" wrapText="1"/>
    </xf>
    <xf numFmtId="2" fontId="15" fillId="0" borderId="35" xfId="6" applyNumberFormat="1" applyFont="1" applyBorder="1" applyAlignment="1">
      <alignment horizontal="center" vertical="center"/>
    </xf>
    <xf numFmtId="0" fontId="15" fillId="0" borderId="35" xfId="6" applyFont="1" applyBorder="1" applyAlignment="1">
      <alignment horizontal="center" vertical="center"/>
    </xf>
    <xf numFmtId="0" fontId="1" fillId="0" borderId="35" xfId="6" applyBorder="1" applyAlignment="1">
      <alignment horizontal="center" vertical="center"/>
    </xf>
    <xf numFmtId="0" fontId="15" fillId="0" borderId="11" xfId="6" applyFont="1" applyBorder="1" applyAlignment="1">
      <alignment horizontal="center" vertical="center"/>
    </xf>
    <xf numFmtId="0" fontId="15" fillId="0" borderId="12" xfId="6" applyFont="1" applyBorder="1" applyAlignment="1">
      <alignment horizontal="center" vertical="center"/>
    </xf>
    <xf numFmtId="0" fontId="15" fillId="0" borderId="36" xfId="6" applyFont="1" applyBorder="1" applyAlignment="1">
      <alignment horizontal="center" vertical="center"/>
    </xf>
    <xf numFmtId="0" fontId="15" fillId="0" borderId="37" xfId="6" applyFont="1" applyBorder="1" applyAlignment="1">
      <alignment horizontal="justify" vertical="center" wrapText="1"/>
    </xf>
    <xf numFmtId="0" fontId="16" fillId="0" borderId="37" xfId="7" applyFont="1" applyBorder="1" applyAlignment="1">
      <alignment horizontal="center" vertical="center" wrapText="1"/>
    </xf>
    <xf numFmtId="0" fontId="15" fillId="0" borderId="37" xfId="6" applyFont="1" applyBorder="1" applyAlignment="1">
      <alignment horizontal="center" vertical="center"/>
    </xf>
    <xf numFmtId="0" fontId="1" fillId="0" borderId="37" xfId="6" applyBorder="1" applyAlignment="1">
      <alignment horizontal="center" vertical="center"/>
    </xf>
    <xf numFmtId="0" fontId="15" fillId="0" borderId="38" xfId="6" applyFont="1" applyBorder="1" applyAlignment="1">
      <alignment horizontal="center" vertical="center"/>
    </xf>
    <xf numFmtId="0" fontId="15" fillId="0" borderId="0" xfId="6" applyFont="1" applyAlignment="1">
      <alignment horizontal="right" vertical="center" wrapText="1"/>
    </xf>
    <xf numFmtId="0" fontId="15" fillId="0" borderId="0" xfId="6" applyFont="1" applyAlignment="1">
      <alignment horizontal="center" vertical="center" wrapText="1"/>
    </xf>
    <xf numFmtId="0" fontId="15" fillId="0" borderId="0" xfId="6" applyFont="1" applyAlignment="1">
      <alignment horizontal="justify" vertical="center" wrapText="1"/>
    </xf>
    <xf numFmtId="0" fontId="16" fillId="0" borderId="0" xfId="6" applyFont="1" applyAlignment="1">
      <alignment horizontal="center" vertical="center" wrapText="1"/>
    </xf>
    <xf numFmtId="2" fontId="15" fillId="0" borderId="0" xfId="6" applyNumberFormat="1" applyFont="1" applyAlignment="1">
      <alignment horizontal="center" vertical="center"/>
    </xf>
    <xf numFmtId="0" fontId="15" fillId="0" borderId="18" xfId="6" applyFont="1" applyBorder="1" applyAlignment="1">
      <alignment horizontal="center" vertical="center"/>
    </xf>
    <xf numFmtId="0" fontId="15" fillId="0" borderId="19" xfId="6" applyFont="1" applyBorder="1" applyAlignment="1">
      <alignment horizontal="justify" vertical="center" wrapText="1"/>
    </xf>
    <xf numFmtId="0" fontId="16" fillId="0" borderId="19" xfId="6" applyFont="1" applyBorder="1" applyAlignment="1">
      <alignment horizontal="center" vertical="center" wrapText="1"/>
    </xf>
    <xf numFmtId="0" fontId="15" fillId="0" borderId="19" xfId="6" applyFont="1" applyBorder="1" applyAlignment="1">
      <alignment horizontal="center" vertical="center"/>
    </xf>
    <xf numFmtId="2" fontId="15" fillId="0" borderId="19" xfId="6" applyNumberFormat="1" applyFont="1" applyBorder="1" applyAlignment="1">
      <alignment horizontal="center" vertical="center"/>
    </xf>
    <xf numFmtId="0" fontId="18" fillId="0" borderId="4" xfId="6" applyFont="1" applyBorder="1" applyAlignment="1">
      <alignment horizontal="center" vertical="center"/>
    </xf>
    <xf numFmtId="0" fontId="15" fillId="0" borderId="9" xfId="6" applyFont="1" applyBorder="1" applyAlignment="1">
      <alignment horizontal="center" vertical="center"/>
    </xf>
    <xf numFmtId="0" fontId="15" fillId="0" borderId="11" xfId="6" applyFont="1" applyBorder="1" applyAlignment="1">
      <alignment vertical="center" wrapText="1"/>
    </xf>
    <xf numFmtId="0" fontId="16" fillId="0" borderId="35" xfId="6" applyFont="1" applyBorder="1" applyAlignment="1">
      <alignment horizontal="center" vertical="center" wrapText="1"/>
    </xf>
    <xf numFmtId="0" fontId="15" fillId="0" borderId="13" xfId="6" applyFont="1" applyBorder="1" applyAlignment="1">
      <alignment horizontal="center" vertical="center"/>
    </xf>
    <xf numFmtId="0" fontId="15" fillId="0" borderId="41" xfId="6" applyFont="1" applyBorder="1" applyAlignment="1">
      <alignment horizontal="center" vertical="center"/>
    </xf>
    <xf numFmtId="0" fontId="15" fillId="0" borderId="42" xfId="6" applyFont="1" applyBorder="1" applyAlignment="1">
      <alignment horizontal="justify" vertical="center" wrapText="1"/>
    </xf>
    <xf numFmtId="0" fontId="16" fillId="0" borderId="11" xfId="6" applyFont="1" applyBorder="1" applyAlignment="1">
      <alignment horizontal="center" vertical="center" wrapText="1"/>
    </xf>
    <xf numFmtId="0" fontId="15" fillId="0" borderId="26" xfId="6" applyFont="1" applyBorder="1" applyAlignment="1">
      <alignment horizontal="justify" vertical="center" wrapText="1"/>
    </xf>
    <xf numFmtId="0" fontId="15" fillId="0" borderId="26" xfId="6" applyFont="1" applyBorder="1" applyAlignment="1">
      <alignment vertical="center" wrapText="1"/>
    </xf>
    <xf numFmtId="2" fontId="15" fillId="0" borderId="37" xfId="6" applyNumberFormat="1" applyFont="1" applyBorder="1" applyAlignment="1">
      <alignment horizontal="center" vertical="center"/>
    </xf>
    <xf numFmtId="2" fontId="15" fillId="0" borderId="38" xfId="6" applyNumberFormat="1" applyFont="1" applyBorder="1" applyAlignment="1">
      <alignment horizontal="center" vertical="center"/>
    </xf>
    <xf numFmtId="0" fontId="15" fillId="0" borderId="0" xfId="6" applyFont="1" applyAlignment="1">
      <alignment vertical="center" wrapText="1"/>
    </xf>
    <xf numFmtId="0" fontId="15" fillId="0" borderId="35" xfId="6" applyFont="1" applyBorder="1" applyAlignment="1">
      <alignment vertical="center" wrapText="1"/>
    </xf>
    <xf numFmtId="2" fontId="15" fillId="0" borderId="11" xfId="6" applyNumberFormat="1" applyFont="1" applyBorder="1" applyAlignment="1">
      <alignment horizontal="center" vertical="center"/>
    </xf>
    <xf numFmtId="2" fontId="15" fillId="0" borderId="12" xfId="6" applyNumberFormat="1" applyFont="1" applyBorder="1" applyAlignment="1">
      <alignment horizontal="center" vertical="center"/>
    </xf>
    <xf numFmtId="2" fontId="15" fillId="0" borderId="26" xfId="6" applyNumberFormat="1" applyFont="1" applyBorder="1" applyAlignment="1">
      <alignment horizontal="center" vertical="center"/>
    </xf>
    <xf numFmtId="2" fontId="15" fillId="0" borderId="27" xfId="6" applyNumberFormat="1" applyFont="1" applyBorder="1" applyAlignment="1">
      <alignment horizontal="center" vertical="center"/>
    </xf>
    <xf numFmtId="0" fontId="15" fillId="0" borderId="17" xfId="6" applyFont="1" applyBorder="1" applyAlignment="1">
      <alignment horizontal="center" vertical="center"/>
    </xf>
    <xf numFmtId="0" fontId="18" fillId="0" borderId="18" xfId="6" applyFont="1" applyBorder="1" applyAlignment="1">
      <alignment horizontal="center" vertical="center"/>
    </xf>
    <xf numFmtId="0" fontId="18" fillId="0" borderId="19" xfId="6" applyFont="1" applyBorder="1" applyAlignment="1">
      <alignment horizontal="left" vertical="center"/>
    </xf>
    <xf numFmtId="0" fontId="15" fillId="0" borderId="19" xfId="6" applyFont="1" applyBorder="1" applyAlignment="1">
      <alignment vertical="center" wrapText="1"/>
    </xf>
    <xf numFmtId="0" fontId="18" fillId="0" borderId="17" xfId="6" applyFont="1" applyBorder="1" applyAlignment="1">
      <alignment horizontal="center" vertical="center"/>
    </xf>
    <xf numFmtId="0" fontId="18" fillId="0" borderId="0" xfId="6" applyFont="1" applyAlignment="1">
      <alignment horizontal="left" vertical="center"/>
    </xf>
    <xf numFmtId="0" fontId="15" fillId="0" borderId="0" xfId="6" applyFont="1" applyAlignment="1">
      <alignment horizontal="left" vertical="center"/>
    </xf>
    <xf numFmtId="0" fontId="15" fillId="0" borderId="43" xfId="6" applyFont="1" applyBorder="1" applyAlignment="1">
      <alignment vertical="center" wrapText="1"/>
    </xf>
    <xf numFmtId="0" fontId="16" fillId="0" borderId="43" xfId="6" applyFont="1" applyBorder="1" applyAlignment="1">
      <alignment horizontal="center" vertical="center" wrapText="1"/>
    </xf>
    <xf numFmtId="0" fontId="15" fillId="0" borderId="43" xfId="6" applyFont="1" applyBorder="1" applyAlignment="1">
      <alignment horizontal="center" vertical="center"/>
    </xf>
    <xf numFmtId="0" fontId="15" fillId="0" borderId="42" xfId="6" applyFont="1" applyBorder="1" applyAlignment="1">
      <alignment horizontal="center" vertical="center"/>
    </xf>
    <xf numFmtId="0" fontId="15" fillId="0" borderId="37" xfId="6" applyFont="1" applyBorder="1" applyAlignment="1">
      <alignment vertical="center" wrapText="1"/>
    </xf>
    <xf numFmtId="0" fontId="16" fillId="0" borderId="37" xfId="6" applyFont="1" applyBorder="1" applyAlignment="1">
      <alignment horizontal="center" vertical="center" wrapText="1"/>
    </xf>
    <xf numFmtId="0" fontId="19" fillId="0" borderId="4" xfId="6" applyFont="1" applyBorder="1" applyAlignment="1">
      <alignment horizontal="center" vertical="center"/>
    </xf>
    <xf numFmtId="0" fontId="19" fillId="0" borderId="23" xfId="6" applyFont="1" applyBorder="1" applyAlignment="1">
      <alignment horizontal="center" vertical="center" wrapText="1"/>
    </xf>
    <xf numFmtId="0" fontId="19" fillId="0" borderId="24" xfId="6" applyFont="1" applyBorder="1" applyAlignment="1">
      <alignment horizontal="center" vertical="center"/>
    </xf>
    <xf numFmtId="0" fontId="16" fillId="0" borderId="11" xfId="7" applyFont="1" applyBorder="1" applyAlignment="1">
      <alignment horizontal="center" vertical="center" wrapText="1"/>
    </xf>
    <xf numFmtId="0" fontId="15" fillId="0" borderId="43" xfId="6" applyFont="1" applyBorder="1" applyAlignment="1">
      <alignment horizontal="justify" vertical="center" wrapText="1"/>
    </xf>
    <xf numFmtId="2" fontId="15" fillId="0" borderId="43" xfId="6" applyNumberFormat="1" applyFont="1" applyBorder="1" applyAlignment="1">
      <alignment horizontal="center" vertical="center"/>
    </xf>
    <xf numFmtId="0" fontId="18" fillId="0" borderId="1" xfId="6" applyFont="1" applyBorder="1" applyAlignment="1">
      <alignment horizontal="center" vertical="center"/>
    </xf>
    <xf numFmtId="0" fontId="18" fillId="0" borderId="2" xfId="6" applyFont="1" applyBorder="1" applyAlignment="1">
      <alignment horizontal="left" vertical="center"/>
    </xf>
    <xf numFmtId="0" fontId="15" fillId="0" borderId="2" xfId="6" applyFont="1" applyBorder="1" applyAlignment="1">
      <alignment horizontal="left" vertical="center"/>
    </xf>
    <xf numFmtId="2" fontId="15" fillId="0" borderId="0" xfId="6" applyNumberFormat="1" applyFont="1" applyAlignment="1">
      <alignment horizontal="center" vertical="center" wrapText="1"/>
    </xf>
    <xf numFmtId="0" fontId="12" fillId="0" borderId="0" xfId="8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22" fillId="4" borderId="10" xfId="8" quotePrefix="1" applyFont="1" applyFill="1" applyBorder="1" applyAlignment="1">
      <alignment horizontal="center" vertical="center"/>
    </xf>
    <xf numFmtId="0" fontId="22" fillId="4" borderId="44" xfId="8" applyFont="1" applyFill="1" applyBorder="1" applyAlignment="1">
      <alignment horizontal="center" vertical="center"/>
    </xf>
    <xf numFmtId="0" fontId="23" fillId="4" borderId="11" xfId="8" applyFont="1" applyFill="1" applyBorder="1" applyAlignment="1">
      <alignment horizontal="center" vertical="center" wrapText="1"/>
    </xf>
    <xf numFmtId="0" fontId="24" fillId="0" borderId="9" xfId="0" applyFont="1" applyBorder="1" applyAlignment="1">
      <alignment vertical="center"/>
    </xf>
    <xf numFmtId="2" fontId="25" fillId="0" borderId="11" xfId="0" applyNumberFormat="1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6" fillId="0" borderId="11" xfId="8" applyFont="1" applyBorder="1" applyAlignment="1">
      <alignment horizontal="center" vertical="center"/>
    </xf>
    <xf numFmtId="0" fontId="28" fillId="0" borderId="44" xfId="8" applyFont="1" applyBorder="1" applyAlignment="1">
      <alignment horizontal="center" vertical="center"/>
    </xf>
    <xf numFmtId="44" fontId="27" fillId="5" borderId="11" xfId="8" applyNumberFormat="1" applyFont="1" applyFill="1" applyBorder="1" applyAlignment="1">
      <alignment horizontal="center" vertical="center" wrapText="1"/>
    </xf>
    <xf numFmtId="164" fontId="4" fillId="0" borderId="11" xfId="9" applyFont="1" applyFill="1" applyBorder="1" applyAlignment="1">
      <alignment vertical="center"/>
    </xf>
    <xf numFmtId="10" fontId="0" fillId="0" borderId="11" xfId="0" applyNumberFormat="1" applyBorder="1" applyAlignment="1">
      <alignment horizontal="center" vertical="center"/>
    </xf>
    <xf numFmtId="42" fontId="1" fillId="0" borderId="12" xfId="2" applyFont="1" applyFill="1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28" fillId="0" borderId="11" xfId="8" applyFont="1" applyBorder="1" applyAlignment="1">
      <alignment horizontal="center" vertical="center"/>
    </xf>
    <xf numFmtId="0" fontId="28" fillId="0" borderId="11" xfId="8" quotePrefix="1" applyFont="1" applyBorder="1" applyAlignment="1">
      <alignment horizontal="center" vertical="center"/>
    </xf>
    <xf numFmtId="0" fontId="28" fillId="0" borderId="11" xfId="8" applyFont="1" applyBorder="1" applyAlignment="1">
      <alignment vertical="center"/>
    </xf>
    <xf numFmtId="3" fontId="28" fillId="0" borderId="11" xfId="8" applyNumberFormat="1" applyFont="1" applyBorder="1" applyAlignment="1">
      <alignment horizontal="center" vertical="center"/>
    </xf>
    <xf numFmtId="9" fontId="28" fillId="0" borderId="11" xfId="8" applyNumberFormat="1" applyFont="1" applyBorder="1" applyAlignment="1">
      <alignment vertical="center"/>
    </xf>
    <xf numFmtId="4" fontId="28" fillId="0" borderId="11" xfId="8" applyNumberFormat="1" applyFont="1" applyBorder="1" applyAlignment="1">
      <alignment horizontal="center" vertical="center"/>
    </xf>
    <xf numFmtId="164" fontId="27" fillId="0" borderId="11" xfId="9" applyFont="1" applyBorder="1" applyAlignment="1">
      <alignment horizontal="center" vertical="center" wrapText="1"/>
    </xf>
    <xf numFmtId="3" fontId="28" fillId="0" borderId="11" xfId="8" applyNumberFormat="1" applyFont="1" applyBorder="1" applyAlignment="1">
      <alignment vertical="center"/>
    </xf>
    <xf numFmtId="4" fontId="28" fillId="0" borderId="11" xfId="8" applyNumberFormat="1" applyFont="1" applyBorder="1" applyAlignment="1">
      <alignment vertical="center"/>
    </xf>
    <xf numFmtId="164" fontId="4" fillId="0" borderId="26" xfId="9" applyFont="1" applyFill="1" applyBorder="1" applyAlignment="1">
      <alignment vertical="center"/>
    </xf>
    <xf numFmtId="10" fontId="0" fillId="0" borderId="26" xfId="0" applyNumberFormat="1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22" fillId="0" borderId="11" xfId="8" applyFont="1" applyBorder="1" applyAlignment="1">
      <alignment horizontal="center" vertical="center"/>
    </xf>
    <xf numFmtId="2" fontId="28" fillId="0" borderId="11" xfId="8" applyNumberFormat="1" applyFont="1" applyBorder="1" applyAlignment="1">
      <alignment horizontal="center" vertical="center"/>
    </xf>
    <xf numFmtId="167" fontId="28" fillId="0" borderId="11" xfId="8" applyNumberFormat="1" applyFont="1" applyBorder="1" applyAlignment="1">
      <alignment horizontal="center" vertical="center"/>
    </xf>
    <xf numFmtId="168" fontId="28" fillId="0" borderId="11" xfId="8" applyNumberFormat="1" applyFont="1" applyBorder="1" applyAlignment="1">
      <alignment horizontal="center" vertical="center"/>
    </xf>
    <xf numFmtId="9" fontId="28" fillId="0" borderId="11" xfId="10" applyFont="1" applyBorder="1" applyAlignment="1">
      <alignment horizontal="center" vertical="center"/>
    </xf>
    <xf numFmtId="169" fontId="27" fillId="0" borderId="11" xfId="9" applyNumberFormat="1" applyFont="1" applyBorder="1" applyAlignment="1">
      <alignment horizontal="center" vertical="center" wrapText="1"/>
    </xf>
    <xf numFmtId="170" fontId="28" fillId="0" borderId="11" xfId="8" applyNumberFormat="1" applyFont="1" applyBorder="1" applyAlignment="1">
      <alignment horizontal="center" vertical="center"/>
    </xf>
    <xf numFmtId="0" fontId="22" fillId="0" borderId="11" xfId="8" applyFont="1" applyBorder="1" applyAlignment="1">
      <alignment horizontal="center" vertical="center" wrapText="1"/>
    </xf>
    <xf numFmtId="171" fontId="28" fillId="0" borderId="11" xfId="8" applyNumberFormat="1" applyFont="1" applyBorder="1" applyAlignment="1">
      <alignment horizontal="center" vertical="center"/>
    </xf>
    <xf numFmtId="169" fontId="12" fillId="0" borderId="0" xfId="9" applyNumberFormat="1" applyFont="1" applyAlignment="1">
      <alignment vertical="center"/>
    </xf>
    <xf numFmtId="171" fontId="28" fillId="0" borderId="11" xfId="8" applyNumberFormat="1" applyFont="1" applyBorder="1" applyAlignment="1">
      <alignment vertical="center"/>
    </xf>
    <xf numFmtId="0" fontId="22" fillId="0" borderId="11" xfId="8" quotePrefix="1" applyFont="1" applyBorder="1" applyAlignment="1">
      <alignment horizontal="center" vertical="center"/>
    </xf>
    <xf numFmtId="173" fontId="28" fillId="0" borderId="11" xfId="11" applyNumberFormat="1" applyFont="1" applyBorder="1" applyAlignment="1">
      <alignment vertical="center"/>
    </xf>
    <xf numFmtId="9" fontId="28" fillId="0" borderId="11" xfId="12" applyFont="1" applyBorder="1" applyAlignment="1">
      <alignment horizontal="center" vertical="center"/>
    </xf>
    <xf numFmtId="44" fontId="23" fillId="5" borderId="11" xfId="8" applyNumberFormat="1" applyFont="1" applyFill="1" applyBorder="1" applyAlignment="1">
      <alignment horizontal="center" vertical="center" wrapText="1"/>
    </xf>
    <xf numFmtId="174" fontId="28" fillId="0" borderId="11" xfId="8" applyNumberFormat="1" applyFont="1" applyBorder="1" applyAlignment="1">
      <alignment horizontal="center" vertical="center"/>
    </xf>
    <xf numFmtId="0" fontId="12" fillId="0" borderId="0" xfId="8" applyAlignment="1">
      <alignment horizontal="center" vertical="center"/>
    </xf>
    <xf numFmtId="175" fontId="28" fillId="0" borderId="11" xfId="8" applyNumberFormat="1" applyFont="1" applyBorder="1" applyAlignment="1">
      <alignment horizontal="center" vertical="center"/>
    </xf>
    <xf numFmtId="44" fontId="12" fillId="0" borderId="0" xfId="8" applyNumberFormat="1" applyAlignment="1">
      <alignment vertical="center"/>
    </xf>
    <xf numFmtId="0" fontId="22" fillId="0" borderId="10" xfId="8" quotePrefix="1" applyFont="1" applyBorder="1" applyAlignment="1">
      <alignment horizontal="center" vertical="center"/>
    </xf>
    <xf numFmtId="0" fontId="22" fillId="0" borderId="44" xfId="8" applyFont="1" applyBorder="1" applyAlignment="1">
      <alignment horizontal="center" vertical="center"/>
    </xf>
    <xf numFmtId="0" fontId="23" fillId="0" borderId="11" xfId="8" applyFont="1" applyBorder="1" applyAlignment="1">
      <alignment horizontal="center" vertical="center" wrapText="1"/>
    </xf>
    <xf numFmtId="44" fontId="27" fillId="0" borderId="11" xfId="8" applyNumberFormat="1" applyFont="1" applyBorder="1" applyAlignment="1">
      <alignment horizontal="center" vertical="center" wrapText="1"/>
    </xf>
    <xf numFmtId="169" fontId="12" fillId="0" borderId="0" xfId="9" applyNumberFormat="1" applyFont="1" applyFill="1" applyAlignment="1">
      <alignment vertical="center"/>
    </xf>
    <xf numFmtId="164" fontId="27" fillId="0" borderId="11" xfId="9" applyFont="1" applyFill="1" applyBorder="1" applyAlignment="1">
      <alignment horizontal="center" vertical="center" wrapText="1"/>
    </xf>
    <xf numFmtId="9" fontId="28" fillId="0" borderId="11" xfId="10" applyFont="1" applyFill="1" applyBorder="1" applyAlignment="1">
      <alignment horizontal="center" vertical="center"/>
    </xf>
    <xf numFmtId="169" fontId="27" fillId="0" borderId="11" xfId="9" applyNumberFormat="1" applyFont="1" applyFill="1" applyBorder="1" applyAlignment="1">
      <alignment horizontal="center" vertical="center" wrapText="1"/>
    </xf>
    <xf numFmtId="167" fontId="27" fillId="0" borderId="11" xfId="9" applyNumberFormat="1" applyFont="1" applyFill="1" applyBorder="1" applyAlignment="1">
      <alignment horizontal="center" vertical="center" wrapText="1"/>
    </xf>
    <xf numFmtId="173" fontId="28" fillId="0" borderId="11" xfId="11" applyNumberFormat="1" applyFont="1" applyFill="1" applyBorder="1" applyAlignment="1">
      <alignment vertical="center"/>
    </xf>
    <xf numFmtId="9" fontId="28" fillId="0" borderId="11" xfId="12" applyFont="1" applyFill="1" applyBorder="1" applyAlignment="1">
      <alignment horizontal="center" vertical="center"/>
    </xf>
    <xf numFmtId="1" fontId="28" fillId="0" borderId="11" xfId="8" applyNumberFormat="1" applyFont="1" applyBorder="1" applyAlignment="1">
      <alignment horizontal="center" vertical="center"/>
    </xf>
    <xf numFmtId="176" fontId="28" fillId="0" borderId="11" xfId="8" applyNumberFormat="1" applyFont="1" applyBorder="1" applyAlignment="1">
      <alignment horizontal="center" vertical="center"/>
    </xf>
    <xf numFmtId="167" fontId="12" fillId="0" borderId="0" xfId="8" applyNumberFormat="1" applyAlignment="1">
      <alignment vertical="center"/>
    </xf>
    <xf numFmtId="0" fontId="22" fillId="6" borderId="10" xfId="8" quotePrefix="1" applyFont="1" applyFill="1" applyBorder="1" applyAlignment="1">
      <alignment horizontal="center" vertical="center"/>
    </xf>
    <xf numFmtId="0" fontId="22" fillId="6" borderId="44" xfId="8" applyFont="1" applyFill="1" applyBorder="1" applyAlignment="1">
      <alignment horizontal="center" vertical="center"/>
    </xf>
    <xf numFmtId="0" fontId="23" fillId="6" borderId="11" xfId="8" applyFont="1" applyFill="1" applyBorder="1" applyAlignment="1">
      <alignment horizontal="center" vertical="center" wrapText="1"/>
    </xf>
    <xf numFmtId="0" fontId="29" fillId="5" borderId="0" xfId="13" applyFont="1" applyFill="1" applyAlignment="1">
      <alignment wrapText="1"/>
    </xf>
    <xf numFmtId="0" fontId="29" fillId="0" borderId="0" xfId="13" applyFont="1" applyAlignment="1">
      <alignment wrapText="1"/>
    </xf>
    <xf numFmtId="169" fontId="31" fillId="0" borderId="48" xfId="15" applyNumberFormat="1" applyFont="1" applyFill="1" applyBorder="1" applyAlignment="1">
      <alignment vertical="center" wrapText="1"/>
    </xf>
    <xf numFmtId="0" fontId="29" fillId="8" borderId="0" xfId="13" applyFont="1" applyFill="1" applyAlignment="1">
      <alignment wrapText="1"/>
    </xf>
    <xf numFmtId="176" fontId="32" fillId="3" borderId="9" xfId="14" applyNumberFormat="1" applyFont="1" applyFill="1" applyBorder="1" applyAlignment="1">
      <alignment horizontal="center" vertical="center" wrapText="1"/>
    </xf>
    <xf numFmtId="0" fontId="31" fillId="3" borderId="11" xfId="14" applyFont="1" applyFill="1" applyBorder="1" applyAlignment="1">
      <alignment horizontal="left" vertical="center" wrapText="1"/>
    </xf>
    <xf numFmtId="0" fontId="31" fillId="3" borderId="11" xfId="14" applyFont="1" applyFill="1" applyBorder="1" applyAlignment="1">
      <alignment horizontal="center" vertical="center" wrapText="1"/>
    </xf>
    <xf numFmtId="0" fontId="31" fillId="9" borderId="11" xfId="14" applyFont="1" applyFill="1" applyBorder="1" applyAlignment="1">
      <alignment horizontal="center" vertical="center" wrapText="1"/>
    </xf>
    <xf numFmtId="169" fontId="31" fillId="3" borderId="12" xfId="14" applyNumberFormat="1" applyFont="1" applyFill="1" applyBorder="1" applyAlignment="1">
      <alignment horizontal="center" vertical="center" wrapText="1"/>
    </xf>
    <xf numFmtId="10" fontId="29" fillId="0" borderId="0" xfId="13" applyNumberFormat="1" applyFont="1" applyAlignment="1">
      <alignment wrapText="1"/>
    </xf>
    <xf numFmtId="176" fontId="32" fillId="0" borderId="9" xfId="14" applyNumberFormat="1" applyFont="1" applyBorder="1" applyAlignment="1">
      <alignment horizontal="center" vertical="center" wrapText="1"/>
    </xf>
    <xf numFmtId="176" fontId="32" fillId="0" borderId="11" xfId="14" applyNumberFormat="1" applyFont="1" applyBorder="1" applyAlignment="1">
      <alignment horizontal="left" vertical="center" wrapText="1"/>
    </xf>
    <xf numFmtId="0" fontId="32" fillId="0" borderId="11" xfId="14" applyFont="1" applyBorder="1" applyAlignment="1">
      <alignment horizontal="center" vertical="center" wrapText="1"/>
    </xf>
    <xf numFmtId="3" fontId="32" fillId="0" borderId="11" xfId="16" applyNumberFormat="1" applyFont="1" applyBorder="1" applyAlignment="1">
      <alignment horizontal="center" vertical="center" wrapText="1"/>
    </xf>
    <xf numFmtId="4" fontId="32" fillId="0" borderId="11" xfId="16" applyNumberFormat="1" applyFont="1" applyBorder="1" applyAlignment="1">
      <alignment horizontal="center" vertical="center" wrapText="1"/>
    </xf>
    <xf numFmtId="9" fontId="32" fillId="0" borderId="11" xfId="17" applyFont="1" applyBorder="1" applyAlignment="1">
      <alignment horizontal="center" vertical="center" wrapText="1"/>
    </xf>
    <xf numFmtId="169" fontId="32" fillId="0" borderId="11" xfId="18" applyNumberFormat="1" applyFont="1" applyBorder="1" applyAlignment="1">
      <alignment horizontal="center" vertical="center" wrapText="1"/>
    </xf>
    <xf numFmtId="169" fontId="32" fillId="0" borderId="12" xfId="18" applyNumberFormat="1" applyFont="1" applyBorder="1" applyAlignment="1">
      <alignment horizontal="center" vertical="center" wrapText="1"/>
    </xf>
    <xf numFmtId="164" fontId="29" fillId="0" borderId="0" xfId="18" applyFont="1"/>
    <xf numFmtId="176" fontId="32" fillId="0" borderId="10" xfId="14" applyNumberFormat="1" applyFont="1" applyBorder="1" applyAlignment="1">
      <alignment horizontal="left" vertical="center" wrapText="1"/>
    </xf>
    <xf numFmtId="4" fontId="32" fillId="0" borderId="45" xfId="16" applyNumberFormat="1" applyFont="1" applyBorder="1" applyAlignment="1">
      <alignment horizontal="center" vertical="center" wrapText="1"/>
    </xf>
    <xf numFmtId="164" fontId="29" fillId="0" borderId="0" xfId="13" applyNumberFormat="1" applyFont="1" applyAlignment="1">
      <alignment wrapText="1"/>
    </xf>
    <xf numFmtId="9" fontId="29" fillId="0" borderId="0" xfId="17" applyFont="1" applyAlignment="1">
      <alignment wrapText="1"/>
    </xf>
    <xf numFmtId="44" fontId="29" fillId="0" borderId="0" xfId="13" applyNumberFormat="1" applyFont="1" applyAlignment="1">
      <alignment wrapText="1"/>
    </xf>
    <xf numFmtId="0" fontId="32" fillId="0" borderId="9" xfId="14" applyFont="1" applyBorder="1" applyAlignment="1">
      <alignment horizontal="center" vertical="center" wrapText="1"/>
    </xf>
    <xf numFmtId="0" fontId="32" fillId="0" borderId="11" xfId="13" applyFont="1" applyBorder="1" applyAlignment="1">
      <alignment vertical="center" wrapText="1"/>
    </xf>
    <xf numFmtId="177" fontId="32" fillId="0" borderId="11" xfId="17" applyNumberFormat="1" applyFont="1" applyBorder="1" applyAlignment="1">
      <alignment horizontal="center" vertical="center" wrapText="1"/>
    </xf>
    <xf numFmtId="169" fontId="29" fillId="0" borderId="0" xfId="13" applyNumberFormat="1" applyFont="1" applyAlignment="1">
      <alignment wrapText="1"/>
    </xf>
    <xf numFmtId="164" fontId="29" fillId="0" borderId="0" xfId="18" applyFont="1" applyAlignment="1">
      <alignment wrapText="1"/>
    </xf>
    <xf numFmtId="10" fontId="32" fillId="2" borderId="11" xfId="19" applyNumberFormat="1" applyFont="1" applyFill="1" applyBorder="1" applyAlignment="1">
      <alignment horizontal="center" vertical="center" wrapText="1"/>
    </xf>
    <xf numFmtId="169" fontId="31" fillId="3" borderId="12" xfId="18" applyNumberFormat="1" applyFont="1" applyFill="1" applyBorder="1" applyAlignment="1">
      <alignment vertical="center" wrapText="1"/>
    </xf>
    <xf numFmtId="10" fontId="29" fillId="0" borderId="0" xfId="20" applyNumberFormat="1" applyFont="1" applyAlignment="1">
      <alignment wrapText="1"/>
    </xf>
    <xf numFmtId="9" fontId="32" fillId="3" borderId="11" xfId="17" applyFont="1" applyFill="1" applyBorder="1" applyAlignment="1">
      <alignment horizontal="center" vertical="center" wrapText="1"/>
    </xf>
    <xf numFmtId="169" fontId="36" fillId="0" borderId="0" xfId="13" applyNumberFormat="1" applyFont="1" applyAlignment="1">
      <alignment wrapText="1"/>
    </xf>
    <xf numFmtId="0" fontId="29" fillId="0" borderId="0" xfId="13" applyFont="1" applyAlignment="1">
      <alignment horizontal="center" wrapText="1"/>
    </xf>
    <xf numFmtId="0" fontId="30" fillId="0" borderId="0" xfId="13" applyFont="1" applyAlignment="1">
      <alignment wrapText="1"/>
    </xf>
    <xf numFmtId="0" fontId="38" fillId="0" borderId="0" xfId="0" applyFont="1"/>
    <xf numFmtId="0" fontId="39" fillId="6" borderId="11" xfId="0" applyFont="1" applyFill="1" applyBorder="1" applyAlignment="1">
      <alignment horizontal="center" vertical="center"/>
    </xf>
    <xf numFmtId="0" fontId="39" fillId="0" borderId="9" xfId="0" applyFont="1" applyBorder="1" applyAlignment="1">
      <alignment horizontal="center" vertical="center"/>
    </xf>
    <xf numFmtId="10" fontId="39" fillId="10" borderId="11" xfId="0" applyNumberFormat="1" applyFont="1" applyFill="1" applyBorder="1" applyAlignment="1">
      <alignment horizontal="center" vertical="center"/>
    </xf>
    <xf numFmtId="10" fontId="39" fillId="0" borderId="10" xfId="0" applyNumberFormat="1" applyFont="1" applyBorder="1" applyAlignment="1">
      <alignment horizontal="center" vertical="center"/>
    </xf>
    <xf numFmtId="10" fontId="39" fillId="0" borderId="12" xfId="0" applyNumberFormat="1" applyFont="1" applyBorder="1" applyAlignment="1">
      <alignment horizontal="center" vertical="center"/>
    </xf>
    <xf numFmtId="0" fontId="38" fillId="0" borderId="9" xfId="0" applyFont="1" applyBorder="1" applyAlignment="1">
      <alignment horizontal="center" vertical="center"/>
    </xf>
    <xf numFmtId="0" fontId="38" fillId="0" borderId="11" xfId="0" applyFont="1" applyBorder="1" applyAlignment="1">
      <alignment horizontal="center" vertical="center"/>
    </xf>
    <xf numFmtId="178" fontId="38" fillId="0" borderId="11" xfId="0" applyNumberFormat="1" applyFont="1" applyBorder="1" applyAlignment="1">
      <alignment vertical="center" wrapText="1"/>
    </xf>
    <xf numFmtId="10" fontId="39" fillId="0" borderId="11" xfId="0" applyNumberFormat="1" applyFont="1" applyBorder="1" applyAlignment="1">
      <alignment horizontal="center" vertical="center"/>
    </xf>
    <xf numFmtId="0" fontId="38" fillId="0" borderId="12" xfId="0" applyFont="1" applyBorder="1"/>
    <xf numFmtId="0" fontId="39" fillId="11" borderId="9" xfId="0" applyFont="1" applyFill="1" applyBorder="1" applyAlignment="1">
      <alignment horizontal="center" vertical="center"/>
    </xf>
    <xf numFmtId="0" fontId="39" fillId="11" borderId="11" xfId="0" applyFont="1" applyFill="1" applyBorder="1" applyAlignment="1">
      <alignment horizontal="center" vertical="center"/>
    </xf>
    <xf numFmtId="178" fontId="39" fillId="11" borderId="11" xfId="0" applyNumberFormat="1" applyFont="1" applyFill="1" applyBorder="1" applyAlignment="1">
      <alignment vertical="center"/>
    </xf>
    <xf numFmtId="177" fontId="38" fillId="11" borderId="11" xfId="17" applyNumberFormat="1" applyFont="1" applyFill="1" applyBorder="1" applyAlignment="1">
      <alignment horizontal="center" vertical="center"/>
    </xf>
    <xf numFmtId="177" fontId="39" fillId="11" borderId="11" xfId="17" applyNumberFormat="1" applyFont="1" applyFill="1" applyBorder="1" applyAlignment="1">
      <alignment horizontal="center" vertical="center"/>
    </xf>
    <xf numFmtId="177" fontId="39" fillId="11" borderId="10" xfId="17" applyNumberFormat="1" applyFont="1" applyFill="1" applyBorder="1" applyAlignment="1">
      <alignment horizontal="center" vertical="center"/>
    </xf>
    <xf numFmtId="177" fontId="38" fillId="11" borderId="12" xfId="17" applyNumberFormat="1" applyFont="1" applyFill="1" applyBorder="1" applyAlignment="1">
      <alignment horizontal="center" vertical="center"/>
    </xf>
    <xf numFmtId="177" fontId="38" fillId="5" borderId="11" xfId="17" applyNumberFormat="1" applyFont="1" applyFill="1" applyBorder="1" applyAlignment="1">
      <alignment horizontal="center" vertical="center"/>
    </xf>
    <xf numFmtId="10" fontId="39" fillId="11" borderId="11" xfId="0" applyNumberFormat="1" applyFont="1" applyFill="1" applyBorder="1" applyAlignment="1">
      <alignment horizontal="center" vertical="center"/>
    </xf>
    <xf numFmtId="10" fontId="38" fillId="0" borderId="10" xfId="0" applyNumberFormat="1" applyFont="1" applyBorder="1" applyAlignment="1">
      <alignment horizontal="center" vertical="center"/>
    </xf>
    <xf numFmtId="10" fontId="38" fillId="0" borderId="12" xfId="0" applyNumberFormat="1" applyFont="1" applyBorder="1" applyAlignment="1">
      <alignment horizontal="center" vertical="center"/>
    </xf>
    <xf numFmtId="10" fontId="38" fillId="0" borderId="11" xfId="0" applyNumberFormat="1" applyFont="1" applyBorder="1" applyAlignment="1">
      <alignment horizontal="center" vertical="center"/>
    </xf>
    <xf numFmtId="0" fontId="39" fillId="7" borderId="9" xfId="0" applyFont="1" applyFill="1" applyBorder="1" applyAlignment="1">
      <alignment horizontal="center" vertical="center"/>
    </xf>
    <xf numFmtId="0" fontId="39" fillId="7" borderId="11" xfId="0" applyFont="1" applyFill="1" applyBorder="1" applyAlignment="1">
      <alignment horizontal="center" vertical="center"/>
    </xf>
    <xf numFmtId="178" fontId="39" fillId="7" borderId="11" xfId="0" applyNumberFormat="1" applyFont="1" applyFill="1" applyBorder="1" applyAlignment="1">
      <alignment vertical="center"/>
    </xf>
    <xf numFmtId="10" fontId="38" fillId="7" borderId="11" xfId="17" applyNumberFormat="1" applyFont="1" applyFill="1" applyBorder="1" applyAlignment="1">
      <alignment horizontal="center" vertical="center"/>
    </xf>
    <xf numFmtId="10" fontId="39" fillId="7" borderId="11" xfId="17" applyNumberFormat="1" applyFont="1" applyFill="1" applyBorder="1" applyAlignment="1">
      <alignment horizontal="center" vertical="center"/>
    </xf>
    <xf numFmtId="10" fontId="39" fillId="7" borderId="10" xfId="17" applyNumberFormat="1" applyFont="1" applyFill="1" applyBorder="1" applyAlignment="1">
      <alignment horizontal="center" vertical="center"/>
    </xf>
    <xf numFmtId="10" fontId="38" fillId="7" borderId="12" xfId="17" applyNumberFormat="1" applyFont="1" applyFill="1" applyBorder="1" applyAlignment="1">
      <alignment horizontal="center" vertical="center"/>
    </xf>
    <xf numFmtId="178" fontId="38" fillId="0" borderId="11" xfId="0" applyNumberFormat="1" applyFont="1" applyBorder="1" applyAlignment="1">
      <alignment vertical="center"/>
    </xf>
    <xf numFmtId="10" fontId="38" fillId="5" borderId="11" xfId="17" applyNumberFormat="1" applyFont="1" applyFill="1" applyBorder="1" applyAlignment="1">
      <alignment horizontal="center" vertical="center"/>
    </xf>
    <xf numFmtId="10" fontId="38" fillId="7" borderId="11" xfId="0" applyNumberFormat="1" applyFont="1" applyFill="1" applyBorder="1" applyAlignment="1">
      <alignment horizontal="center" vertical="center"/>
    </xf>
    <xf numFmtId="10" fontId="38" fillId="0" borderId="12" xfId="17" applyNumberFormat="1" applyFont="1" applyFill="1" applyBorder="1" applyAlignment="1">
      <alignment horizontal="center" vertical="center"/>
    </xf>
    <xf numFmtId="10" fontId="38" fillId="5" borderId="12" xfId="17" applyNumberFormat="1" applyFont="1" applyFill="1" applyBorder="1" applyAlignment="1">
      <alignment horizontal="center" vertical="center"/>
    </xf>
    <xf numFmtId="0" fontId="38" fillId="12" borderId="9" xfId="0" applyFont="1" applyFill="1" applyBorder="1" applyAlignment="1">
      <alignment horizontal="center" vertical="center"/>
    </xf>
    <xf numFmtId="0" fontId="39" fillId="12" borderId="11" xfId="0" applyFont="1" applyFill="1" applyBorder="1" applyAlignment="1">
      <alignment horizontal="center" vertical="center"/>
    </xf>
    <xf numFmtId="178" fontId="39" fillId="12" borderId="11" xfId="0" applyNumberFormat="1" applyFont="1" applyFill="1" applyBorder="1" applyAlignment="1">
      <alignment vertical="center"/>
    </xf>
    <xf numFmtId="10" fontId="39" fillId="12" borderId="11" xfId="17" applyNumberFormat="1" applyFont="1" applyFill="1" applyBorder="1" applyAlignment="1">
      <alignment horizontal="center" vertical="center"/>
    </xf>
    <xf numFmtId="10" fontId="39" fillId="12" borderId="12" xfId="17" applyNumberFormat="1" applyFont="1" applyFill="1" applyBorder="1" applyAlignment="1">
      <alignment horizontal="center" vertical="center"/>
    </xf>
    <xf numFmtId="10" fontId="38" fillId="12" borderId="11" xfId="0" applyNumberFormat="1" applyFont="1" applyFill="1" applyBorder="1" applyAlignment="1">
      <alignment horizontal="center" vertical="center"/>
    </xf>
    <xf numFmtId="0" fontId="39" fillId="13" borderId="9" xfId="0" applyFont="1" applyFill="1" applyBorder="1" applyAlignment="1">
      <alignment horizontal="center" vertical="center"/>
    </xf>
    <xf numFmtId="0" fontId="39" fillId="13" borderId="11" xfId="0" applyFont="1" applyFill="1" applyBorder="1" applyAlignment="1">
      <alignment horizontal="center" vertical="center"/>
    </xf>
    <xf numFmtId="178" fontId="39" fillId="13" borderId="11" xfId="0" applyNumberFormat="1" applyFont="1" applyFill="1" applyBorder="1" applyAlignment="1">
      <alignment vertical="center"/>
    </xf>
    <xf numFmtId="10" fontId="38" fillId="13" borderId="11" xfId="17" applyNumberFormat="1" applyFont="1" applyFill="1" applyBorder="1" applyAlignment="1">
      <alignment horizontal="center" vertical="center"/>
    </xf>
    <xf numFmtId="10" fontId="39" fillId="13" borderId="11" xfId="17" applyNumberFormat="1" applyFont="1" applyFill="1" applyBorder="1" applyAlignment="1">
      <alignment horizontal="center" vertical="center"/>
    </xf>
    <xf numFmtId="10" fontId="38" fillId="0" borderId="11" xfId="17" applyNumberFormat="1" applyFont="1" applyFill="1" applyBorder="1" applyAlignment="1">
      <alignment horizontal="center" vertical="center"/>
    </xf>
    <xf numFmtId="10" fontId="38" fillId="0" borderId="10" xfId="17" applyNumberFormat="1" applyFont="1" applyFill="1" applyBorder="1" applyAlignment="1">
      <alignment horizontal="center" vertical="center"/>
    </xf>
    <xf numFmtId="0" fontId="39" fillId="14" borderId="9" xfId="0" applyFont="1" applyFill="1" applyBorder="1" applyAlignment="1">
      <alignment horizontal="center" vertical="center"/>
    </xf>
    <xf numFmtId="0" fontId="39" fillId="14" borderId="11" xfId="0" applyFont="1" applyFill="1" applyBorder="1" applyAlignment="1">
      <alignment horizontal="center" vertical="center"/>
    </xf>
    <xf numFmtId="178" fontId="39" fillId="14" borderId="11" xfId="0" applyNumberFormat="1" applyFont="1" applyFill="1" applyBorder="1" applyAlignment="1">
      <alignment vertical="center"/>
    </xf>
    <xf numFmtId="10" fontId="38" fillId="14" borderId="11" xfId="17" applyNumberFormat="1" applyFont="1" applyFill="1" applyBorder="1" applyAlignment="1">
      <alignment horizontal="center" vertical="center"/>
    </xf>
    <xf numFmtId="10" fontId="39" fillId="14" borderId="11" xfId="17" applyNumberFormat="1" applyFont="1" applyFill="1" applyBorder="1" applyAlignment="1">
      <alignment horizontal="center" vertical="center"/>
    </xf>
    <xf numFmtId="10" fontId="39" fillId="14" borderId="12" xfId="17" applyNumberFormat="1" applyFont="1" applyFill="1" applyBorder="1" applyAlignment="1">
      <alignment horizontal="center" vertical="center"/>
    </xf>
    <xf numFmtId="0" fontId="38" fillId="0" borderId="9" xfId="0" applyFont="1" applyBorder="1"/>
    <xf numFmtId="178" fontId="38" fillId="0" borderId="11" xfId="0" applyNumberFormat="1" applyFont="1" applyBorder="1"/>
    <xf numFmtId="178" fontId="38" fillId="0" borderId="0" xfId="0" applyNumberFormat="1" applyFont="1"/>
    <xf numFmtId="179" fontId="38" fillId="0" borderId="0" xfId="0" applyNumberFormat="1" applyFont="1"/>
    <xf numFmtId="1" fontId="31" fillId="11" borderId="9" xfId="14" applyNumberFormat="1" applyFont="1" applyFill="1" applyBorder="1" applyAlignment="1">
      <alignment horizontal="center" vertical="center" wrapText="1"/>
    </xf>
    <xf numFmtId="0" fontId="31" fillId="11" borderId="11" xfId="14" applyFont="1" applyFill="1" applyBorder="1" applyAlignment="1">
      <alignment vertical="center" wrapText="1"/>
    </xf>
    <xf numFmtId="0" fontId="32" fillId="11" borderId="11" xfId="14" applyFont="1" applyFill="1" applyBorder="1" applyAlignment="1">
      <alignment vertical="center" wrapText="1"/>
    </xf>
    <xf numFmtId="169" fontId="31" fillId="11" borderId="12" xfId="14" applyNumberFormat="1" applyFont="1" applyFill="1" applyBorder="1" applyAlignment="1">
      <alignment vertical="center" wrapText="1"/>
    </xf>
    <xf numFmtId="169" fontId="32" fillId="11" borderId="11" xfId="17" applyNumberFormat="1" applyFont="1" applyFill="1" applyBorder="1" applyAlignment="1">
      <alignment vertical="center" wrapText="1"/>
    </xf>
    <xf numFmtId="9" fontId="31" fillId="15" borderId="26" xfId="21" applyNumberFormat="1" applyFont="1" applyFill="1" applyBorder="1" applyAlignment="1">
      <alignment horizontal="center" vertical="center" wrapText="1"/>
    </xf>
    <xf numFmtId="169" fontId="31" fillId="11" borderId="27" xfId="18" applyNumberFormat="1" applyFont="1" applyFill="1" applyBorder="1" applyAlignment="1">
      <alignment vertical="center" wrapText="1"/>
    </xf>
    <xf numFmtId="0" fontId="38" fillId="0" borderId="10" xfId="0" applyFont="1" applyBorder="1" applyAlignment="1">
      <alignment horizontal="left" vertical="top" wrapText="1"/>
    </xf>
    <xf numFmtId="0" fontId="38" fillId="0" borderId="16" xfId="0" applyFont="1" applyBorder="1" applyAlignment="1">
      <alignment horizontal="left" vertical="top" wrapText="1"/>
    </xf>
    <xf numFmtId="0" fontId="38" fillId="0" borderId="45" xfId="0" applyFont="1" applyBorder="1" applyAlignment="1">
      <alignment horizontal="left" vertical="top" wrapText="1"/>
    </xf>
    <xf numFmtId="0" fontId="39" fillId="14" borderId="11" xfId="0" applyFont="1" applyFill="1" applyBorder="1" applyAlignment="1">
      <alignment vertical="center"/>
    </xf>
    <xf numFmtId="0" fontId="39" fillId="13" borderId="11" xfId="0" applyFont="1" applyFill="1" applyBorder="1" applyAlignment="1">
      <alignment vertical="center"/>
    </xf>
    <xf numFmtId="0" fontId="39" fillId="7" borderId="10" xfId="0" applyFont="1" applyFill="1" applyBorder="1" applyAlignment="1">
      <alignment horizontal="left" vertical="center" wrapText="1"/>
    </xf>
    <xf numFmtId="0" fontId="39" fillId="7" borderId="16" xfId="0" applyFont="1" applyFill="1" applyBorder="1" applyAlignment="1">
      <alignment horizontal="left" vertical="center" wrapText="1"/>
    </xf>
    <xf numFmtId="0" fontId="39" fillId="7" borderId="45" xfId="0" applyFont="1" applyFill="1" applyBorder="1" applyAlignment="1">
      <alignment horizontal="left" vertical="center" wrapText="1"/>
    </xf>
    <xf numFmtId="0" fontId="38" fillId="0" borderId="10" xfId="0" applyFont="1" applyBorder="1" applyAlignment="1">
      <alignment horizontal="left" vertical="center" wrapText="1"/>
    </xf>
    <xf numFmtId="0" fontId="38" fillId="0" borderId="16" xfId="0" applyFont="1" applyBorder="1" applyAlignment="1">
      <alignment horizontal="left" vertical="center" wrapText="1"/>
    </xf>
    <xf numFmtId="0" fontId="38" fillId="0" borderId="45" xfId="0" applyFont="1" applyBorder="1" applyAlignment="1">
      <alignment horizontal="left" vertical="center" wrapText="1"/>
    </xf>
    <xf numFmtId="0" fontId="39" fillId="12" borderId="11" xfId="0" applyFont="1" applyFill="1" applyBorder="1" applyAlignment="1">
      <alignment vertical="center"/>
    </xf>
    <xf numFmtId="0" fontId="38" fillId="0" borderId="10" xfId="0" applyFont="1" applyBorder="1" applyAlignment="1">
      <alignment vertical="center"/>
    </xf>
    <xf numFmtId="0" fontId="38" fillId="0" borderId="16" xfId="0" applyFont="1" applyBorder="1" applyAlignment="1">
      <alignment vertical="center"/>
    </xf>
    <xf numFmtId="0" fontId="38" fillId="0" borderId="45" xfId="0" applyFont="1" applyBorder="1" applyAlignment="1">
      <alignment vertical="center"/>
    </xf>
    <xf numFmtId="0" fontId="38" fillId="0" borderId="10" xfId="0" applyFont="1" applyBorder="1" applyAlignment="1">
      <alignment vertical="center" wrapText="1"/>
    </xf>
    <xf numFmtId="0" fontId="38" fillId="0" borderId="16" xfId="0" applyFont="1" applyBorder="1" applyAlignment="1">
      <alignment vertical="center" wrapText="1"/>
    </xf>
    <xf numFmtId="0" fontId="38" fillId="0" borderId="45" xfId="0" applyFont="1" applyBorder="1" applyAlignment="1">
      <alignment vertical="center" wrapText="1"/>
    </xf>
    <xf numFmtId="0" fontId="39" fillId="11" borderId="11" xfId="0" applyFont="1" applyFill="1" applyBorder="1" applyAlignment="1">
      <alignment horizontal="left" vertical="center" wrapText="1"/>
    </xf>
    <xf numFmtId="0" fontId="37" fillId="0" borderId="29" xfId="0" applyFont="1" applyBorder="1" applyAlignment="1">
      <alignment horizontal="center" vertical="center"/>
    </xf>
    <xf numFmtId="0" fontId="37" fillId="0" borderId="7" xfId="0" applyFont="1" applyBorder="1" applyAlignment="1">
      <alignment horizontal="center" vertical="center"/>
    </xf>
    <xf numFmtId="0" fontId="37" fillId="0" borderId="50" xfId="0" applyFont="1" applyBorder="1" applyAlignment="1">
      <alignment horizontal="center" vertical="center"/>
    </xf>
    <xf numFmtId="0" fontId="37" fillId="0" borderId="44" xfId="0" applyFont="1" applyBorder="1" applyAlignment="1">
      <alignment horizontal="center" vertical="center"/>
    </xf>
    <xf numFmtId="0" fontId="37" fillId="0" borderId="7" xfId="0" applyFont="1" applyBorder="1" applyAlignment="1">
      <alignment horizontal="center" vertical="center" wrapText="1"/>
    </xf>
    <xf numFmtId="0" fontId="37" fillId="0" borderId="30" xfId="0" applyFont="1" applyBorder="1" applyAlignment="1">
      <alignment horizontal="center" vertical="center" wrapText="1"/>
    </xf>
    <xf numFmtId="0" fontId="37" fillId="0" borderId="44" xfId="0" applyFont="1" applyBorder="1" applyAlignment="1">
      <alignment horizontal="center" vertical="center" wrapText="1"/>
    </xf>
    <xf numFmtId="0" fontId="37" fillId="0" borderId="51" xfId="0" applyFont="1" applyBorder="1" applyAlignment="1">
      <alignment horizontal="center" vertical="center" wrapText="1"/>
    </xf>
    <xf numFmtId="0" fontId="39" fillId="6" borderId="41" xfId="0" applyFont="1" applyFill="1" applyBorder="1" applyAlignment="1">
      <alignment horizontal="center" vertical="center"/>
    </xf>
    <xf numFmtId="0" fontId="39" fillId="6" borderId="34" xfId="0" applyFont="1" applyFill="1" applyBorder="1" applyAlignment="1">
      <alignment horizontal="center" vertical="center"/>
    </xf>
    <xf numFmtId="0" fontId="39" fillId="6" borderId="52" xfId="0" applyFont="1" applyFill="1" applyBorder="1" applyAlignment="1">
      <alignment horizontal="center" vertical="center"/>
    </xf>
    <xf numFmtId="0" fontId="39" fillId="6" borderId="46" xfId="0" applyFont="1" applyFill="1" applyBorder="1" applyAlignment="1">
      <alignment horizontal="center" vertical="center"/>
    </xf>
    <xf numFmtId="0" fontId="39" fillId="6" borderId="53" xfId="0" applyFont="1" applyFill="1" applyBorder="1" applyAlignment="1">
      <alignment horizontal="center" vertical="center"/>
    </xf>
    <xf numFmtId="0" fontId="39" fillId="6" borderId="14" xfId="0" applyFont="1" applyFill="1" applyBorder="1" applyAlignment="1">
      <alignment horizontal="center" vertical="center"/>
    </xf>
    <xf numFmtId="0" fontId="39" fillId="6" borderId="44" xfId="0" applyFont="1" applyFill="1" applyBorder="1" applyAlignment="1">
      <alignment horizontal="center" vertical="center"/>
    </xf>
    <xf numFmtId="0" fontId="39" fillId="6" borderId="55" xfId="0" applyFont="1" applyFill="1" applyBorder="1" applyAlignment="1">
      <alignment horizontal="center" vertical="center"/>
    </xf>
    <xf numFmtId="0" fontId="39" fillId="6" borderId="42" xfId="0" applyFont="1" applyFill="1" applyBorder="1" applyAlignment="1">
      <alignment horizontal="center" vertical="center" wrapText="1"/>
    </xf>
    <xf numFmtId="0" fontId="39" fillId="6" borderId="35" xfId="0" applyFont="1" applyFill="1" applyBorder="1" applyAlignment="1">
      <alignment horizontal="center" vertical="center" wrapText="1"/>
    </xf>
    <xf numFmtId="0" fontId="39" fillId="6" borderId="42" xfId="0" applyFont="1" applyFill="1" applyBorder="1" applyAlignment="1">
      <alignment horizontal="center" vertical="center"/>
    </xf>
    <xf numFmtId="0" fontId="39" fillId="6" borderId="35" xfId="0" applyFont="1" applyFill="1" applyBorder="1" applyAlignment="1">
      <alignment horizontal="center" vertical="center"/>
    </xf>
    <xf numFmtId="0" fontId="39" fillId="6" borderId="10" xfId="0" applyFont="1" applyFill="1" applyBorder="1" applyAlignment="1">
      <alignment horizontal="center"/>
    </xf>
    <xf numFmtId="0" fontId="39" fillId="6" borderId="16" xfId="0" applyFont="1" applyFill="1" applyBorder="1" applyAlignment="1">
      <alignment horizontal="center"/>
    </xf>
    <xf numFmtId="0" fontId="39" fillId="6" borderId="45" xfId="0" applyFont="1" applyFill="1" applyBorder="1" applyAlignment="1">
      <alignment horizontal="center"/>
    </xf>
    <xf numFmtId="0" fontId="39" fillId="6" borderId="54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8" fillId="0" borderId="31" xfId="6" applyFont="1" applyBorder="1" applyAlignment="1">
      <alignment horizontal="left" vertical="center" wrapText="1"/>
    </xf>
    <xf numFmtId="0" fontId="18" fillId="0" borderId="32" xfId="6" applyFont="1" applyBorder="1" applyAlignment="1">
      <alignment horizontal="left" vertical="center" wrapText="1"/>
    </xf>
    <xf numFmtId="0" fontId="13" fillId="0" borderId="31" xfId="6" applyFont="1" applyBorder="1" applyAlignment="1">
      <alignment horizontal="right" vertical="center" wrapText="1"/>
    </xf>
    <xf numFmtId="0" fontId="13" fillId="0" borderId="33" xfId="6" applyFont="1" applyBorder="1" applyAlignment="1">
      <alignment horizontal="right" vertical="center" wrapText="1"/>
    </xf>
    <xf numFmtId="0" fontId="13" fillId="0" borderId="32" xfId="6" applyFont="1" applyBorder="1" applyAlignment="1">
      <alignment horizontal="right" vertical="center" wrapText="1"/>
    </xf>
    <xf numFmtId="0" fontId="18" fillId="0" borderId="31" xfId="6" applyFont="1" applyBorder="1" applyAlignment="1">
      <alignment horizontal="left" vertical="top" wrapText="1"/>
    </xf>
    <xf numFmtId="0" fontId="18" fillId="0" borderId="32" xfId="6" applyFont="1" applyBorder="1" applyAlignment="1">
      <alignment horizontal="left" vertical="top" wrapText="1"/>
    </xf>
    <xf numFmtId="0" fontId="19" fillId="0" borderId="31" xfId="6" applyFont="1" applyBorder="1" applyAlignment="1">
      <alignment horizontal="left" vertical="center" wrapText="1"/>
    </xf>
    <xf numFmtId="0" fontId="19" fillId="0" borderId="32" xfId="6" applyFont="1" applyBorder="1" applyAlignment="1">
      <alignment horizontal="left" vertical="center" wrapText="1"/>
    </xf>
    <xf numFmtId="0" fontId="20" fillId="0" borderId="31" xfId="6" applyFont="1" applyBorder="1" applyAlignment="1">
      <alignment horizontal="right" vertical="center" wrapText="1"/>
    </xf>
    <xf numFmtId="0" fontId="20" fillId="0" borderId="33" xfId="6" applyFont="1" applyBorder="1" applyAlignment="1">
      <alignment horizontal="right" vertical="center" wrapText="1"/>
    </xf>
    <xf numFmtId="0" fontId="20" fillId="0" borderId="32" xfId="6" applyFont="1" applyBorder="1" applyAlignment="1">
      <alignment horizontal="right" vertical="center" wrapText="1"/>
    </xf>
    <xf numFmtId="0" fontId="18" fillId="0" borderId="39" xfId="6" applyFont="1" applyBorder="1" applyAlignment="1">
      <alignment horizontal="left" vertical="center" wrapText="1"/>
    </xf>
    <xf numFmtId="0" fontId="18" fillId="0" borderId="40" xfId="6" applyFont="1" applyBorder="1" applyAlignment="1">
      <alignment horizontal="left" vertical="center" wrapText="1"/>
    </xf>
    <xf numFmtId="0" fontId="16" fillId="0" borderId="23" xfId="6" applyFont="1" applyBorder="1" applyAlignment="1">
      <alignment horizontal="center" vertical="center"/>
    </xf>
    <xf numFmtId="0" fontId="16" fillId="0" borderId="26" xfId="6" applyFont="1" applyBorder="1" applyAlignment="1">
      <alignment horizontal="center" vertical="center"/>
    </xf>
    <xf numFmtId="0" fontId="17" fillId="0" borderId="24" xfId="6" applyFont="1" applyBorder="1" applyAlignment="1">
      <alignment horizontal="center" vertical="center" wrapText="1"/>
    </xf>
    <xf numFmtId="0" fontId="17" fillId="0" borderId="27" xfId="6" applyFont="1" applyBorder="1" applyAlignment="1">
      <alignment horizontal="center" vertical="center" wrapText="1"/>
    </xf>
    <xf numFmtId="0" fontId="13" fillId="0" borderId="20" xfId="6" applyFont="1" applyBorder="1" applyAlignment="1">
      <alignment horizontal="center" vertical="center"/>
    </xf>
    <xf numFmtId="0" fontId="13" fillId="0" borderId="0" xfId="6" applyFont="1" applyAlignment="1">
      <alignment horizontal="center" vertical="center"/>
    </xf>
    <xf numFmtId="0" fontId="14" fillId="0" borderId="20" xfId="6" applyFont="1" applyBorder="1" applyAlignment="1">
      <alignment horizontal="center"/>
    </xf>
    <xf numFmtId="0" fontId="14" fillId="0" borderId="0" xfId="6" applyFont="1" applyAlignment="1">
      <alignment horizontal="center"/>
    </xf>
    <xf numFmtId="0" fontId="14" fillId="0" borderId="21" xfId="6" applyFont="1" applyBorder="1" applyAlignment="1">
      <alignment horizontal="center"/>
    </xf>
    <xf numFmtId="0" fontId="15" fillId="0" borderId="22" xfId="6" applyFont="1" applyBorder="1" applyAlignment="1">
      <alignment horizontal="center" vertical="center"/>
    </xf>
    <xf numFmtId="0" fontId="15" fillId="0" borderId="25" xfId="6" applyFont="1" applyBorder="1" applyAlignment="1">
      <alignment horizontal="center" vertical="center"/>
    </xf>
    <xf numFmtId="0" fontId="15" fillId="0" borderId="23" xfId="6" applyFont="1" applyBorder="1" applyAlignment="1">
      <alignment horizontal="center" vertical="center"/>
    </xf>
    <xf numFmtId="0" fontId="15" fillId="0" borderId="26" xfId="6" applyFont="1" applyBorder="1" applyAlignment="1">
      <alignment horizontal="center" vertical="center"/>
    </xf>
    <xf numFmtId="0" fontId="16" fillId="0" borderId="23" xfId="6" applyFont="1" applyBorder="1" applyAlignment="1">
      <alignment horizontal="center" vertical="center" wrapText="1"/>
    </xf>
    <xf numFmtId="0" fontId="16" fillId="0" borderId="26" xfId="6" applyFont="1" applyBorder="1" applyAlignment="1">
      <alignment horizontal="center" vertical="center" wrapText="1"/>
    </xf>
    <xf numFmtId="0" fontId="22" fillId="0" borderId="10" xfId="8" applyFont="1" applyBorder="1" applyAlignment="1">
      <alignment horizontal="right" vertical="center"/>
    </xf>
    <xf numFmtId="0" fontId="22" fillId="0" borderId="16" xfId="8" applyFont="1" applyBorder="1" applyAlignment="1">
      <alignment horizontal="right" vertical="center"/>
    </xf>
    <xf numFmtId="0" fontId="22" fillId="0" borderId="45" xfId="8" applyFont="1" applyBorder="1" applyAlignment="1">
      <alignment horizontal="right" vertical="center"/>
    </xf>
    <xf numFmtId="0" fontId="12" fillId="0" borderId="46" xfId="8" applyBorder="1" applyAlignment="1">
      <alignment horizontal="center" vertical="center"/>
    </xf>
    <xf numFmtId="0" fontId="12" fillId="0" borderId="0" xfId="8" applyAlignment="1">
      <alignment horizontal="center" vertical="center"/>
    </xf>
    <xf numFmtId="0" fontId="22" fillId="0" borderId="11" xfId="8" applyFont="1" applyBorder="1" applyAlignment="1">
      <alignment horizontal="left" vertical="center"/>
    </xf>
    <xf numFmtId="0" fontId="22" fillId="0" borderId="11" xfId="8" applyFont="1" applyBorder="1" applyAlignment="1">
      <alignment horizontal="justify" vertical="center"/>
    </xf>
    <xf numFmtId="0" fontId="28" fillId="0" borderId="10" xfId="8" applyFont="1" applyBorder="1" applyAlignment="1">
      <alignment horizontal="left" vertical="center"/>
    </xf>
    <xf numFmtId="0" fontId="28" fillId="0" borderId="16" xfId="8" applyFont="1" applyBorder="1" applyAlignment="1">
      <alignment horizontal="left" vertical="center"/>
    </xf>
    <xf numFmtId="0" fontId="28" fillId="0" borderId="45" xfId="8" applyFont="1" applyBorder="1" applyAlignment="1">
      <alignment horizontal="left" vertical="center"/>
    </xf>
    <xf numFmtId="0" fontId="28" fillId="0" borderId="11" xfId="8" applyFont="1" applyBorder="1" applyAlignment="1">
      <alignment horizontal="justify" vertical="center"/>
    </xf>
    <xf numFmtId="0" fontId="28" fillId="0" borderId="10" xfId="8" applyFont="1" applyBorder="1" applyAlignment="1">
      <alignment horizontal="left" vertical="center" wrapText="1"/>
    </xf>
    <xf numFmtId="0" fontId="28" fillId="0" borderId="16" xfId="8" applyFont="1" applyBorder="1" applyAlignment="1">
      <alignment horizontal="left" vertical="center" wrapText="1"/>
    </xf>
    <xf numFmtId="0" fontId="28" fillId="0" borderId="45" xfId="8" applyFont="1" applyBorder="1" applyAlignment="1">
      <alignment horizontal="left" vertical="center" wrapText="1"/>
    </xf>
    <xf numFmtId="0" fontId="28" fillId="0" borderId="11" xfId="8" applyFont="1" applyBorder="1" applyAlignment="1">
      <alignment horizontal="left" vertical="center"/>
    </xf>
    <xf numFmtId="0" fontId="22" fillId="0" borderId="10" xfId="8" applyFont="1" applyBorder="1" applyAlignment="1">
      <alignment horizontal="center" vertical="center"/>
    </xf>
    <xf numFmtId="0" fontId="22" fillId="0" borderId="16" xfId="8" applyFont="1" applyBorder="1" applyAlignment="1">
      <alignment horizontal="center" vertical="center"/>
    </xf>
    <xf numFmtId="0" fontId="22" fillId="0" borderId="45" xfId="8" applyFont="1" applyBorder="1" applyAlignment="1">
      <alignment horizontal="center" vertical="center"/>
    </xf>
    <xf numFmtId="0" fontId="22" fillId="6" borderId="11" xfId="8" quotePrefix="1" applyFont="1" applyFill="1" applyBorder="1" applyAlignment="1">
      <alignment horizontal="center" vertical="center"/>
    </xf>
    <xf numFmtId="0" fontId="23" fillId="5" borderId="10" xfId="8" applyFont="1" applyFill="1" applyBorder="1" applyAlignment="1">
      <alignment horizontal="left" vertical="center" wrapText="1"/>
    </xf>
    <xf numFmtId="0" fontId="23" fillId="5" borderId="16" xfId="8" applyFont="1" applyFill="1" applyBorder="1" applyAlignment="1">
      <alignment horizontal="left" vertical="center" wrapText="1"/>
    </xf>
    <xf numFmtId="0" fontId="23" fillId="5" borderId="45" xfId="8" applyFont="1" applyFill="1" applyBorder="1" applyAlignment="1">
      <alignment horizontal="left" vertical="center" wrapText="1"/>
    </xf>
    <xf numFmtId="0" fontId="22" fillId="0" borderId="35" xfId="8" applyFont="1" applyBorder="1" applyAlignment="1">
      <alignment horizontal="left" vertical="center"/>
    </xf>
    <xf numFmtId="0" fontId="22" fillId="0" borderId="11" xfId="8" applyFont="1" applyBorder="1" applyAlignment="1">
      <alignment horizontal="center" vertical="center"/>
    </xf>
    <xf numFmtId="0" fontId="28" fillId="0" borderId="11" xfId="8" applyFont="1" applyBorder="1" applyAlignment="1">
      <alignment horizontal="left" vertical="center" wrapText="1"/>
    </xf>
    <xf numFmtId="0" fontId="21" fillId="0" borderId="11" xfId="8" applyFont="1" applyBorder="1" applyAlignment="1">
      <alignment horizontal="center" vertical="center" wrapText="1"/>
    </xf>
    <xf numFmtId="0" fontId="21" fillId="0" borderId="42" xfId="8" applyFont="1" applyBorder="1" applyAlignment="1">
      <alignment horizontal="center" vertical="center" wrapText="1"/>
    </xf>
    <xf numFmtId="0" fontId="22" fillId="4" borderId="11" xfId="8" quotePrefix="1" applyFont="1" applyFill="1" applyBorder="1" applyAlignment="1">
      <alignment horizontal="center" vertical="center"/>
    </xf>
    <xf numFmtId="0" fontId="27" fillId="5" borderId="10" xfId="8" applyFont="1" applyFill="1" applyBorder="1" applyAlignment="1">
      <alignment horizontal="left" vertical="center" wrapText="1"/>
    </xf>
    <xf numFmtId="0" fontId="27" fillId="5" borderId="16" xfId="8" applyFont="1" applyFill="1" applyBorder="1" applyAlignment="1">
      <alignment horizontal="left" vertical="center" wrapText="1"/>
    </xf>
    <xf numFmtId="0" fontId="27" fillId="5" borderId="45" xfId="8" applyFont="1" applyFill="1" applyBorder="1" applyAlignment="1">
      <alignment horizontal="left" vertical="center" wrapText="1"/>
    </xf>
    <xf numFmtId="0" fontId="22" fillId="0" borderId="11" xfId="8" quotePrefix="1" applyFont="1" applyBorder="1" applyAlignment="1">
      <alignment horizontal="center" vertical="center"/>
    </xf>
    <xf numFmtId="0" fontId="27" fillId="0" borderId="10" xfId="8" applyFont="1" applyBorder="1" applyAlignment="1">
      <alignment horizontal="left" vertical="center" wrapText="1"/>
    </xf>
    <xf numFmtId="0" fontId="27" fillId="0" borderId="16" xfId="8" applyFont="1" applyBorder="1" applyAlignment="1">
      <alignment horizontal="left" vertical="center" wrapText="1"/>
    </xf>
    <xf numFmtId="0" fontId="27" fillId="0" borderId="45" xfId="8" applyFont="1" applyBorder="1" applyAlignment="1">
      <alignment horizontal="left" vertical="center" wrapText="1"/>
    </xf>
    <xf numFmtId="0" fontId="28" fillId="0" borderId="10" xfId="8" applyFont="1" applyBorder="1" applyAlignment="1">
      <alignment horizontal="justify" vertical="center"/>
    </xf>
    <xf numFmtId="0" fontId="28" fillId="0" borderId="16" xfId="8" applyFont="1" applyBorder="1" applyAlignment="1">
      <alignment horizontal="justify" vertical="center"/>
    </xf>
    <xf numFmtId="0" fontId="28" fillId="0" borderId="45" xfId="8" applyFont="1" applyBorder="1" applyAlignment="1">
      <alignment horizontal="justify" vertical="center"/>
    </xf>
    <xf numFmtId="0" fontId="28" fillId="0" borderId="11" xfId="8" applyFont="1" applyBorder="1" applyAlignment="1">
      <alignment horizontal="center" vertical="center"/>
    </xf>
    <xf numFmtId="0" fontId="31" fillId="3" borderId="49" xfId="14" applyFont="1" applyFill="1" applyBorder="1" applyAlignment="1">
      <alignment horizontal="center" vertical="center" wrapText="1"/>
    </xf>
    <xf numFmtId="0" fontId="31" fillId="3" borderId="16" xfId="14" applyFont="1" applyFill="1" applyBorder="1" applyAlignment="1">
      <alignment horizontal="center" vertical="center" wrapText="1"/>
    </xf>
    <xf numFmtId="0" fontId="31" fillId="3" borderId="45" xfId="14" applyFont="1" applyFill="1" applyBorder="1" applyAlignment="1">
      <alignment horizontal="center" vertical="center" wrapText="1"/>
    </xf>
    <xf numFmtId="0" fontId="31" fillId="11" borderId="25" xfId="14" applyFont="1" applyFill="1" applyBorder="1" applyAlignment="1">
      <alignment horizontal="center" vertical="center" wrapText="1"/>
    </xf>
    <xf numFmtId="0" fontId="31" fillId="11" borderId="26" xfId="14" applyFont="1" applyFill="1" applyBorder="1" applyAlignment="1">
      <alignment horizontal="center" vertical="center" wrapText="1"/>
    </xf>
    <xf numFmtId="0" fontId="30" fillId="11" borderId="29" xfId="13" applyFont="1" applyFill="1" applyBorder="1" applyAlignment="1">
      <alignment horizontal="center" vertical="center" wrapText="1"/>
    </xf>
    <xf numFmtId="0" fontId="30" fillId="11" borderId="7" xfId="13" applyFont="1" applyFill="1" applyBorder="1" applyAlignment="1">
      <alignment horizontal="center" vertical="center" wrapText="1"/>
    </xf>
    <xf numFmtId="0" fontId="30" fillId="11" borderId="30" xfId="13" applyFont="1" applyFill="1" applyBorder="1" applyAlignment="1">
      <alignment horizontal="center" vertical="center" wrapText="1"/>
    </xf>
    <xf numFmtId="0" fontId="30" fillId="11" borderId="17" xfId="13" applyFont="1" applyFill="1" applyBorder="1" applyAlignment="1">
      <alignment horizontal="center" vertical="center" wrapText="1"/>
    </xf>
    <xf numFmtId="0" fontId="30" fillId="11" borderId="0" xfId="13" applyFont="1" applyFill="1" applyAlignment="1">
      <alignment horizontal="center" vertical="center" wrapText="1"/>
    </xf>
    <xf numFmtId="0" fontId="30" fillId="11" borderId="15" xfId="13" applyFont="1" applyFill="1" applyBorder="1" applyAlignment="1">
      <alignment horizontal="center" vertical="center" wrapText="1"/>
    </xf>
    <xf numFmtId="0" fontId="31" fillId="0" borderId="1" xfId="14" applyFont="1" applyBorder="1" applyAlignment="1">
      <alignment horizontal="right" vertical="center" wrapText="1"/>
    </xf>
    <xf numFmtId="0" fontId="31" fillId="0" borderId="2" xfId="14" applyFont="1" applyBorder="1" applyAlignment="1">
      <alignment horizontal="right" vertical="center" wrapText="1"/>
    </xf>
    <xf numFmtId="0" fontId="31" fillId="0" borderId="47" xfId="14" applyFont="1" applyBorder="1" applyAlignment="1">
      <alignment horizontal="right" vertical="center" wrapText="1"/>
    </xf>
    <xf numFmtId="0" fontId="31" fillId="11" borderId="9" xfId="14" applyFont="1" applyFill="1" applyBorder="1" applyAlignment="1">
      <alignment horizontal="center" vertical="center" wrapText="1"/>
    </xf>
    <xf numFmtId="0" fontId="31" fillId="11" borderId="11" xfId="14" applyFont="1" applyFill="1" applyBorder="1" applyAlignment="1">
      <alignment horizontal="center" vertical="center" wrapText="1"/>
    </xf>
    <xf numFmtId="0" fontId="31" fillId="11" borderId="12" xfId="14" applyFont="1" applyFill="1" applyBorder="1" applyAlignment="1">
      <alignment horizontal="center" vertical="center" wrapText="1"/>
    </xf>
    <xf numFmtId="0" fontId="33" fillId="11" borderId="10" xfId="14" applyFont="1" applyFill="1" applyBorder="1" applyAlignment="1">
      <alignment horizontal="left" vertical="center" wrapText="1"/>
    </xf>
    <xf numFmtId="0" fontId="33" fillId="11" borderId="16" xfId="14" applyFont="1" applyFill="1" applyBorder="1" applyAlignment="1">
      <alignment horizontal="left" vertical="center" wrapText="1"/>
    </xf>
    <xf numFmtId="0" fontId="33" fillId="11" borderId="45" xfId="14" applyFont="1" applyFill="1" applyBorder="1" applyAlignment="1">
      <alignment horizontal="left" vertical="center" wrapText="1"/>
    </xf>
    <xf numFmtId="0" fontId="32" fillId="0" borderId="9" xfId="14" applyFont="1" applyBorder="1" applyAlignment="1">
      <alignment horizontal="center" vertical="center" wrapText="1"/>
    </xf>
    <xf numFmtId="0" fontId="32" fillId="0" borderId="11" xfId="14" applyFont="1" applyBorder="1" applyAlignment="1">
      <alignment horizontal="center" vertical="center" wrapText="1"/>
    </xf>
    <xf numFmtId="0" fontId="32" fillId="0" borderId="12" xfId="14" applyFont="1" applyBorder="1" applyAlignment="1">
      <alignment horizontal="center" vertical="center" wrapText="1"/>
    </xf>
    <xf numFmtId="0" fontId="31" fillId="3" borderId="9" xfId="14" applyFont="1" applyFill="1" applyBorder="1" applyAlignment="1">
      <alignment horizontal="center" vertical="center" wrapText="1"/>
    </xf>
    <xf numFmtId="0" fontId="31" fillId="3" borderId="11" xfId="14" applyFont="1" applyFill="1" applyBorder="1" applyAlignment="1">
      <alignment horizontal="center" vertical="center" wrapText="1"/>
    </xf>
    <xf numFmtId="178" fontId="38" fillId="16" borderId="26" xfId="0" applyNumberFormat="1" applyFont="1" applyFill="1" applyBorder="1"/>
    <xf numFmtId="179" fontId="38" fillId="16" borderId="56" xfId="0" applyNumberFormat="1" applyFont="1" applyFill="1" applyBorder="1" applyAlignment="1">
      <alignment horizontal="center"/>
    </xf>
    <xf numFmtId="179" fontId="38" fillId="16" borderId="57" xfId="0" applyNumberFormat="1" applyFont="1" applyFill="1" applyBorder="1" applyAlignment="1">
      <alignment horizontal="center"/>
    </xf>
    <xf numFmtId="179" fontId="38" fillId="16" borderId="58" xfId="0" applyNumberFormat="1" applyFont="1" applyFill="1" applyBorder="1" applyAlignment="1">
      <alignment horizontal="center"/>
    </xf>
    <xf numFmtId="0" fontId="38" fillId="0" borderId="59" xfId="0" applyFont="1" applyBorder="1"/>
    <xf numFmtId="0" fontId="38" fillId="16" borderId="58" xfId="0" applyFont="1" applyFill="1" applyBorder="1" applyAlignment="1">
      <alignment horizontal="center" vertical="center"/>
    </xf>
    <xf numFmtId="0" fontId="39" fillId="0" borderId="42" xfId="0" applyFont="1" applyBorder="1" applyAlignment="1">
      <alignment horizontal="left" vertical="center"/>
    </xf>
    <xf numFmtId="0" fontId="39" fillId="16" borderId="60" xfId="0" applyFont="1" applyFill="1" applyBorder="1" applyAlignment="1">
      <alignment horizontal="left" vertical="center"/>
    </xf>
    <xf numFmtId="0" fontId="39" fillId="16" borderId="28" xfId="0" applyFont="1" applyFill="1" applyBorder="1" applyAlignment="1">
      <alignment horizontal="left" vertical="center"/>
    </xf>
    <xf numFmtId="0" fontId="39" fillId="16" borderId="48" xfId="0" applyFont="1" applyFill="1" applyBorder="1" applyAlignment="1">
      <alignment horizontal="left" vertical="center"/>
    </xf>
  </cellXfs>
  <cellStyles count="22">
    <cellStyle name="Millares 4 2 3" xfId="16" xr:uid="{4BC0BA47-AF0E-49B2-80E2-F2966DE6B382}"/>
    <cellStyle name="Moneda" xfId="1" builtinId="4"/>
    <cellStyle name="Moneda [0]" xfId="2" builtinId="7"/>
    <cellStyle name="Moneda 2 10 2" xfId="18" xr:uid="{19A70E91-7519-4F5E-A1B1-8059B33D5A63}"/>
    <cellStyle name="Moneda 2 2" xfId="15" xr:uid="{633807ED-DD5E-4FC1-8080-E597773DDE08}"/>
    <cellStyle name="Moneda 2 3" xfId="9" xr:uid="{2856418A-6319-4CA1-AA25-4ED82354B531}"/>
    <cellStyle name="Moneda_Propuesta SCV-045-99" xfId="11" xr:uid="{9F7B4046-4017-46B4-B345-E81D8B8F2C7F}"/>
    <cellStyle name="Normal" xfId="0" builtinId="0"/>
    <cellStyle name="Normal 2" xfId="8" xr:uid="{CCBC64A9-7BE8-4307-934B-48F2A717135C}"/>
    <cellStyle name="Normal 3 3 2" xfId="13" xr:uid="{EE7AE748-0ED8-4089-A8D4-4C92B6DC85E2}"/>
    <cellStyle name="Normal 4" xfId="4" xr:uid="{16B2C9E3-28FA-44CD-95EA-ADB95E088E15}"/>
    <cellStyle name="Normal 5 2 2" xfId="14" xr:uid="{AD597FBA-DF66-4214-90EE-6F6A1BD2B3AC}"/>
    <cellStyle name="Normal 5 9" xfId="21" xr:uid="{97BB0A8A-953F-409E-8B61-A35FDCD4DCA6}"/>
    <cellStyle name="Normal 7" xfId="5" xr:uid="{64884A79-1225-4A08-AB9B-00E36B146174}"/>
    <cellStyle name="Normal 8" xfId="6" xr:uid="{FB256528-7EE6-416A-A51F-589A81A8719C}"/>
    <cellStyle name="Normal 8 2" xfId="7" xr:uid="{BB938225-0D45-4381-A64F-C23E78B5AA69}"/>
    <cellStyle name="Porcentaje" xfId="3" builtinId="5"/>
    <cellStyle name="Porcentaje 2 2" xfId="12" xr:uid="{65DDDA42-2473-4220-B1BB-FF9624D8611F}"/>
    <cellStyle name="Porcentaje 3" xfId="10" xr:uid="{E48C14A6-595F-4F43-8428-EEAA6A4A6653}"/>
    <cellStyle name="Porcentaje 3 2" xfId="17" xr:uid="{C0F07E5F-A73F-425E-8DD3-AEB00DC3AE79}"/>
    <cellStyle name="Porcentaje 4" xfId="20" xr:uid="{BCB2385A-787A-4F10-963C-83970BA1EBB7}"/>
    <cellStyle name="Porcentaje 4 2" xfId="19" xr:uid="{867D83EF-719F-4F89-823E-770E731C95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8.xml"/><Relationship Id="rId18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21.xml"/><Relationship Id="rId39" Type="http://schemas.openxmlformats.org/officeDocument/2006/relationships/externalLink" Target="externalLinks/externalLink34.xml"/><Relationship Id="rId21" Type="http://schemas.openxmlformats.org/officeDocument/2006/relationships/externalLink" Target="externalLinks/externalLink16.xml"/><Relationship Id="rId34" Type="http://schemas.openxmlformats.org/officeDocument/2006/relationships/externalLink" Target="externalLinks/externalLink29.xml"/><Relationship Id="rId42" Type="http://schemas.openxmlformats.org/officeDocument/2006/relationships/externalLink" Target="externalLinks/externalLink37.xml"/><Relationship Id="rId47" Type="http://schemas.openxmlformats.org/officeDocument/2006/relationships/externalLink" Target="externalLinks/externalLink42.xml"/><Relationship Id="rId50" Type="http://schemas.openxmlformats.org/officeDocument/2006/relationships/externalLink" Target="externalLinks/externalLink45.xml"/><Relationship Id="rId55" Type="http://schemas.openxmlformats.org/officeDocument/2006/relationships/styles" Target="styles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1.xml"/><Relationship Id="rId29" Type="http://schemas.openxmlformats.org/officeDocument/2006/relationships/externalLink" Target="externalLinks/externalLink24.xml"/><Relationship Id="rId11" Type="http://schemas.openxmlformats.org/officeDocument/2006/relationships/externalLink" Target="externalLinks/externalLink6.xml"/><Relationship Id="rId24" Type="http://schemas.openxmlformats.org/officeDocument/2006/relationships/externalLink" Target="externalLinks/externalLink19.xml"/><Relationship Id="rId32" Type="http://schemas.openxmlformats.org/officeDocument/2006/relationships/externalLink" Target="externalLinks/externalLink27.xml"/><Relationship Id="rId37" Type="http://schemas.openxmlformats.org/officeDocument/2006/relationships/externalLink" Target="externalLinks/externalLink32.xml"/><Relationship Id="rId40" Type="http://schemas.openxmlformats.org/officeDocument/2006/relationships/externalLink" Target="externalLinks/externalLink35.xml"/><Relationship Id="rId45" Type="http://schemas.openxmlformats.org/officeDocument/2006/relationships/externalLink" Target="externalLinks/externalLink40.xml"/><Relationship Id="rId53" Type="http://schemas.openxmlformats.org/officeDocument/2006/relationships/externalLink" Target="externalLinks/externalLink48.xml"/><Relationship Id="rId5" Type="http://schemas.openxmlformats.org/officeDocument/2006/relationships/worksheet" Target="worksheets/sheet5.xml"/><Relationship Id="rId19" Type="http://schemas.openxmlformats.org/officeDocument/2006/relationships/externalLink" Target="externalLinks/externalLink1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Relationship Id="rId22" Type="http://schemas.openxmlformats.org/officeDocument/2006/relationships/externalLink" Target="externalLinks/externalLink17.xml"/><Relationship Id="rId27" Type="http://schemas.openxmlformats.org/officeDocument/2006/relationships/externalLink" Target="externalLinks/externalLink22.xml"/><Relationship Id="rId30" Type="http://schemas.openxmlformats.org/officeDocument/2006/relationships/externalLink" Target="externalLinks/externalLink25.xml"/><Relationship Id="rId35" Type="http://schemas.openxmlformats.org/officeDocument/2006/relationships/externalLink" Target="externalLinks/externalLink30.xml"/><Relationship Id="rId43" Type="http://schemas.openxmlformats.org/officeDocument/2006/relationships/externalLink" Target="externalLinks/externalLink38.xml"/><Relationship Id="rId48" Type="http://schemas.openxmlformats.org/officeDocument/2006/relationships/externalLink" Target="externalLinks/externalLink43.xml"/><Relationship Id="rId56" Type="http://schemas.openxmlformats.org/officeDocument/2006/relationships/sharedStrings" Target="sharedStrings.xml"/><Relationship Id="rId8" Type="http://schemas.openxmlformats.org/officeDocument/2006/relationships/externalLink" Target="externalLinks/externalLink3.xml"/><Relationship Id="rId51" Type="http://schemas.openxmlformats.org/officeDocument/2006/relationships/externalLink" Target="externalLinks/externalLink46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7.xml"/><Relationship Id="rId17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20.xml"/><Relationship Id="rId33" Type="http://schemas.openxmlformats.org/officeDocument/2006/relationships/externalLink" Target="externalLinks/externalLink28.xml"/><Relationship Id="rId38" Type="http://schemas.openxmlformats.org/officeDocument/2006/relationships/externalLink" Target="externalLinks/externalLink33.xml"/><Relationship Id="rId46" Type="http://schemas.openxmlformats.org/officeDocument/2006/relationships/externalLink" Target="externalLinks/externalLink41.xml"/><Relationship Id="rId20" Type="http://schemas.openxmlformats.org/officeDocument/2006/relationships/externalLink" Target="externalLinks/externalLink15.xml"/><Relationship Id="rId41" Type="http://schemas.openxmlformats.org/officeDocument/2006/relationships/externalLink" Target="externalLinks/externalLink36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18.xml"/><Relationship Id="rId28" Type="http://schemas.openxmlformats.org/officeDocument/2006/relationships/externalLink" Target="externalLinks/externalLink23.xml"/><Relationship Id="rId36" Type="http://schemas.openxmlformats.org/officeDocument/2006/relationships/externalLink" Target="externalLinks/externalLink31.xml"/><Relationship Id="rId49" Type="http://schemas.openxmlformats.org/officeDocument/2006/relationships/externalLink" Target="externalLinks/externalLink44.xml"/><Relationship Id="rId57" Type="http://schemas.openxmlformats.org/officeDocument/2006/relationships/calcChain" Target="calcChain.xml"/><Relationship Id="rId10" Type="http://schemas.openxmlformats.org/officeDocument/2006/relationships/externalLink" Target="externalLinks/externalLink5.xml"/><Relationship Id="rId31" Type="http://schemas.openxmlformats.org/officeDocument/2006/relationships/externalLink" Target="externalLinks/externalLink26.xml"/><Relationship Id="rId44" Type="http://schemas.openxmlformats.org/officeDocument/2006/relationships/externalLink" Target="externalLinks/externalLink39.xml"/><Relationship Id="rId52" Type="http://schemas.openxmlformats.org/officeDocument/2006/relationships/externalLink" Target="externalLinks/externalLink47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PRESUPUESTO!A1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520409</xdr:colOff>
      <xdr:row>153</xdr:row>
      <xdr:rowOff>0</xdr:rowOff>
    </xdr:from>
    <xdr:to>
      <xdr:col>12</xdr:col>
      <xdr:colOff>500130</xdr:colOff>
      <xdr:row>154</xdr:row>
      <xdr:rowOff>294449</xdr:rowOff>
    </xdr:to>
    <xdr:pic>
      <xdr:nvPicPr>
        <xdr:cNvPr id="2" name="3 Imagen" descr="http://cima-sys.com.ve/images/dolar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D3C2022-3F24-46D6-811A-7A6F34FCB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1722" y="38499691"/>
          <a:ext cx="497306" cy="4842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Ofic\p-especi\Obras%20Sector%20Salud%20(H-S)%202000\Distrito%20Nacional\Cub.%20Constr.%20Odontologico%20%20Consultas%20%20Plan%20Soci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upuesto%20Construcci&#243;n%20Puente%20Peatonal%20Manita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%20%20aaInformaci&#243;n%20GRUPO%204\A%20MInformes%20Mensuales\Informe%20de%20estado%20vial%20ene\aCCIDENTES%20DE%201995%20-%2019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crendon.HMV\Local%20Settings\Temporary%20Internet%20Files\OLK3\859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Pepemartelo\Downloads\invitacion-gli-094-2016\Presupuesto%20Clinica%20Concejo%2013-11-0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ANDRES%20DIAZ%20POSADA/COP%201105%20MANTENIMIENTO%20MALLA%20VIAL/obra/Memorias%20de%20Cantidades%20Ejecutadas%20500%20MILLONES%20VIAS%2025%20ENER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a%20%20aaInformaci&#243;n%20GRUPO%204\A%20MInformes%20Mensuales\Informe%20de%20estado%20vial%20ene\aCCIDENTES%20DE%201995%20-%201996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ANTENIMIENTO%20RUTA%201001_MARZO%20DE%202008\Documents%20and%20Settings\PEDRO%20GARCIA%20REALPE\Mis%20documentos\AMV_G1_2006_TUMACO\Actas%20AMV_G1_Tumaco\a%20%20aaInformaci&#243;n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md\documentos%20c\Documentos-Wilson\Advial-Cmarca\bimestral\06-dic-ene-99\03JUN-JUL-98\Acc%20Ago-Sep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%20%20aaInformaci&#243;n%20GRUPO%204\A%20MInformes%20Mensuales\Informe%20de%20estado%20vial%20ene\aCCIDENTES%20DE%201995%20-%201996.xls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microsoft.com/office/2019/04/relationships/externalLinkLongPath" Target="file:///D:\Documents%20and%20Settings\mromero\Configuraci&#243;n%20local\Archivos%20temporales%20de%20Internet\OLK77\20-02-09%20observaciones%20de%20mario%20romero\enviado%20por%20la%20territorial\Documents%20and%20Settings\Jaime%20Rojas\Mis%20documentos\Contrato\Interv\JunBarba\a%20%20aaInformaci&#243;n%20GRUPO?5C5FB9B5" TargetMode="External"/><Relationship Id="rId1" Type="http://schemas.openxmlformats.org/officeDocument/2006/relationships/externalLinkPath" Target="file:///\\5C5FB9B5\a%20%20aaInformaci&#243;n%20GRUPO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Pepemartelo\Downloads\invitacion-gli-094-2016\CALCULOS%20ALIMENTADORES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c1\E\AMV-3005-2005\ADMON%20GRUPO%203%202004%20-2005\PRESUPUESTOS\Analisis%20de%20Precios%20Unitarios%20ASTRID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ANTIAGO\MISDOC\Santiago\Procesos%20Contractuales\Licitaci&#243;n%20P&#250;blica\Proceso%20LPSOP-009-2014%20(3CIC)\Observaciones\Presupuestos\Correcci&#243;n%20AIU%20Santiago\Aranjuez\CIC_ARANJUEZ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Users\eveloz\AppData\Local\Microsoft\Windows\Temporary%20Internet%20Files\Content.Outlook\TCJ3KYUO\Formato%20informe%20semanal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VILLA%20TAKOA\Presupuesto\APUS%20VILLA%20TAKOA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VILLA%20TAKOA/Presupuesto/APUS%20VILLA%20TAKO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g.%20Oscar/Downloads/MATRIZ%20PARA%20EL%20CALCULO%20DEL%20AIU%202009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stacion2\d\DOCUME~1\USER05~1\CONFIG~1\TEMP\ADMINISTRACION%20VIAL%20G2\PRESUPUESTOS\Presupuesto%20remoci&#243;n%20de%20derrumbes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mperez/Documents/TECNICA/DEPORTE%20Y%20RECREACION/02%20ESTANDARIZADO%20POLIDEPORTIVO/05%20HOJA%20CALCULO%20ESTANDARIZADO/PRESUPUESTO%20DEL%20POLIDEPORTIVO%20COMPLETO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Yamil/c%20-%20yamil/Documents%20and%20Settings/Yamil%20Sabbagh/Configuraci&#243;n%20local/Temp/Directorio%20temporal%205%20para%20sergio%20bar.zip/WINDOWS/TEMP/VILLA%20SAGRARIO%20NEGRAS%208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lejandrora\Configuraci&#243;n%20local\Archivos%20temporales%20de%20Internet\Content.Outlook\F0XXD406\Copia%20de%20BASE%20DE%20DATOS%20APU'S%20(4)%20(3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%20VIAL%2003%20-%20CORDOBA\ESTADO%20DE%20RED\2103mar%2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AppData\Local\Microsoft\Windows\Temporary%20Internet%20Files\Content.IE5\Z23ZD6IG\APUS%20PTO%20GAITAN%20-051%202011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ATOS%20HAWAR\PROYECTOS%20JUAN%20CARLOS\PUENTE%20BRISAS\PRESUPUESTO%20PUENTE%20BRISAS\PUENTE%20BRISAS%20DOC\PUENTE%20BRISAS%20-%20BELEN%20DE%20BAJIRA\PRESUPUESTO%20PUENTE%20BRISAS%20v10%20dic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OLEGIO%20BUCHADO\PRESUPUESTO%20V3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ngel%20Melo%20Chaverra\Documents\PUESTO%20DE%20SALUD%20TANELA\PRESUP%20(Reparado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%20%20aaInformaci&#243;n%20GRUPO%204\A%20MInformes%20Mensuales\Informe%20de%20estado%20vial%20ene\aCCIDENTES%20DE%201995%20-%201996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MV-02-BOL\EST.V&#205;A%20CRIT.TECNICO%20AMB-BOL-02\DICIEMBRE-2008\EST.V&#205;A%20CRITERIO%20TECNICO%2090BLB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ST.V&#205;A%20CRITERIO%20TECNICO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CP%20An&#225;lisis%20de%20Precios%20Unitarios%2001-11-20162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Oswall&#180;s%20Constructur\Downloads\PRESUPUESTO%20OBRAS%20COYAIMA%20(PIJAO)%20V.3.1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emoreno\AppData\Local\Microsoft\Windows\Temporary%20Internet%20Files\Content.Outlook\A9AS4BA5\toolkit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Dickson\Mis%20documentos\Administracion\2002%2005%20May%20(Text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pinales\AppData\Roaming\Microsoft\Excel\Users\Arquitecto\Documents\traslado%202%20nueva%20pc\PRESUPUESTO%20TORRE%20AZAR%20MILTON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CTO%20641%20UT%20MAS\MODIFICACIONES\ACTA%20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nergy\e\08-PLANIFICACION-CONTROL\08-CURVAS%20AVANCE\04-TK%20tanques\Curvas%20de%20Avance\00%20-%20Consolidado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Katherin\AppData\Roaming\Microsoft\Excel\ACP%20An&#225;lisis%20de%20Precios%20Unitarios%2001-11-20161%20(version%202).xlsb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Yamil/c%20-%20yamil/Documents%20and%20Settings/Yamil%20Sabbagh/Configuraci&#243;n%20local/Temp/Directorio%20temporal%205%20para%20sergio%20bar.zip/Mis%20documentos/ACTAS/ACTA%2013/SAN%20BASILIO%20NEGRA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RESUMEN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UNITARIOS%20PARA%20241201%202S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jmperez\Downloads\Users\ING~1.OSC\AppData\Local\Temp\Rar$DI01.853\Cantidades_750%20_Alta_Suelo%20AB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ANEXO%202\Users\ING~1.OSC\AppData\Local\Temp\Rar$DI01.853\Cantidades_750%20_Alta_Suelo%20AB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mperez/Downloads/Users/ING~1.OSC/AppData/Local/Temp/Rar$DI01.853/Cantidades_750%20_Alta_Suelo%20AB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-MZAFUNWRLPQ\VECINA.xls" TargetMode="External"/></Relationships>
</file>

<file path=xl/externalLinks/_rels/externalLink4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2.%20Inco%20Jk\1.%20Procesos\2025\1.%20Medio%20San%20Juan\5.%20Relleno%20de%20San%20Miguel\03-09-2025%20Pto%20Relleno%20Sanitario.xlsx" TargetMode="External"/><Relationship Id="rId1" Type="http://schemas.openxmlformats.org/officeDocument/2006/relationships/externalLinkPath" Target="file:///D:\2.%20Inco%20Jk\1.%20Procesos\2025\1.%20Medio%20San%20Juan\5.%20Relleno%20de%20San%20Miguel\03-09-2025%20Pto%20Relleno%20Sanitario.xlsx" TargetMode="External"/></Relationships>
</file>

<file path=xl/externalLinks/_rels/externalLink4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KELY%20PAEZ\Proyectos\2.%20LABORALES\6.%20ALCALDIA%20DE%20TURBO\1.%20Ciudad%20puerto\2.%20PROYECTOS%202020\2.%20Placa%20Polideportiva\1.%20Placa%20Polideportiva%20El%20Tres\Presupuesto\1.%20PTO-Placa-eltres%20071020.xlsx" TargetMode="External"/><Relationship Id="rId1" Type="http://schemas.openxmlformats.org/officeDocument/2006/relationships/externalLinkPath" Target="file:///D:\KELY%20PAEZ\Proyectos\2.%20LABORALES\6.%20ALCALDIA%20DE%20TURBO\1.%20Ciudad%20puerto\2.%20PROYECTOS%202020\2.%20Placa%20Polideportiva\1.%20Placa%20Polideportiva%20El%20Tres\Presupuesto\1.%20PTO-Placa-eltres%20071020.xlsx" TargetMode="External"/></Relationships>
</file>

<file path=xl/externalLinks/_rels/externalLink4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KELY%20PAEZ\Empresas\INTERCONSTRUCCIONES\9.%20Presupuestos\2025\250601%20Pto%20BOX%20Barrio%20Nuevo%20Candelo.xlsx" TargetMode="External"/><Relationship Id="rId1" Type="http://schemas.openxmlformats.org/officeDocument/2006/relationships/externalLinkPath" Target="file:///D:\KELY%20PAEZ\Empresas\INTERCONSTRUCCIONES\9.%20Presupuestos\2025\250601%20Pto%20BOX%20Barrio%20Nuevo%20Candel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 y Dis"/>
      <sheetName val="Fondo Ensayos"/>
      <sheetName val="Obra puente"/>
      <sheetName val="AIU"/>
      <sheetName val="Fondo Ajustes"/>
      <sheetName val="Interventoria"/>
      <sheetName val="MINTRANSPORTE"/>
      <sheetName val="FACTOR MULTIPLICADOR"/>
      <sheetName val="Datos Generales"/>
      <sheetName val="CRONOGRAMA"/>
      <sheetName val="APU ANTICORROSIVO"/>
      <sheetName val="APU LIMPIEZA Y PINTURA"/>
      <sheetName val="APU REFUERZOS"/>
      <sheetName val="APU ADECUACIÓN PASAMANOS"/>
      <sheetName val="APU DESMONTE BARANDA"/>
      <sheetName val="APU REINSTALACIÓN BARANDA"/>
      <sheetName val="APU BARANDA NUEVA"/>
      <sheetName val="APU PINTURA BARANDA"/>
      <sheetName val="APU CONCRETO - METALDECK"/>
      <sheetName val="Est_y_Dis"/>
      <sheetName val="Fondo_Ensayos"/>
      <sheetName val="Obra_puente"/>
      <sheetName val="Fondo_Ajustes"/>
      <sheetName val="FACTOR_MULTIPLICADOR"/>
      <sheetName val="Datos_Generales"/>
      <sheetName val="APU_ANTICORROSIVO"/>
      <sheetName val="APU_LIMPIEZA_Y_PINTURA"/>
      <sheetName val="APU_REFUERZOS"/>
      <sheetName val="APU_ADECUACIÓN_PASAMANOS"/>
      <sheetName val="APU_DESMONTE_BARANDA"/>
      <sheetName val="APU_REINSTALACIÓN_BARANDA"/>
      <sheetName val="APU_BARANDA_NUEVA"/>
      <sheetName val="APU_PINTURA_BARANDA"/>
      <sheetName val="APU_CONCRETO_-_METALDECK"/>
      <sheetName val="días habiles 2015"/>
      <sheetName val="DATOS DE ENTRADA"/>
      <sheetName val="Datos básicos"/>
      <sheetName val="Est_y_Dis1"/>
      <sheetName val="Fondo_Ensayos1"/>
      <sheetName val="Obra_puente1"/>
      <sheetName val="Fondo_Ajustes1"/>
      <sheetName val="FACTOR_MULTIPLICADOR1"/>
      <sheetName val="Datos_Generales1"/>
      <sheetName val="APU_ANTICORROSIVO1"/>
      <sheetName val="APU_LIMPIEZA_Y_PINTURA1"/>
      <sheetName val="APU_REFUERZOS1"/>
      <sheetName val="APU_ADECUACIÓN_PASAMANOS1"/>
      <sheetName val="APU_DESMONTE_BARANDA1"/>
      <sheetName val="APU_REINSTALACIÓN_BARANDA1"/>
      <sheetName val="APU_BARANDA_NUEVA1"/>
      <sheetName val="APU_PINTURA_BARANDA1"/>
      <sheetName val="APU_CONCRETO_-_METALDECK1"/>
      <sheetName val="Est_y_Dis4"/>
      <sheetName val="Fondo_Ensayos4"/>
      <sheetName val="Obra_puente4"/>
      <sheetName val="Fondo_Ajustes4"/>
      <sheetName val="FACTOR_MULTIPLICADOR4"/>
      <sheetName val="Datos_Generales4"/>
      <sheetName val="APU_ANTICORROSIVO4"/>
      <sheetName val="APU_LIMPIEZA_Y_PINTURA4"/>
      <sheetName val="APU_REFUERZOS4"/>
      <sheetName val="APU_ADECUACIÓN_PASAMANOS4"/>
      <sheetName val="APU_DESMONTE_BARANDA4"/>
      <sheetName val="APU_REINSTALACIÓN_BARANDA4"/>
      <sheetName val="APU_BARANDA_NUEVA4"/>
      <sheetName val="APU_PINTURA_BARANDA4"/>
      <sheetName val="APU_CONCRETO_-_METALDECK4"/>
      <sheetName val="Est_y_Dis2"/>
      <sheetName val="Fondo_Ensayos2"/>
      <sheetName val="Obra_puente2"/>
      <sheetName val="Fondo_Ajustes2"/>
      <sheetName val="FACTOR_MULTIPLICADOR2"/>
      <sheetName val="Datos_Generales2"/>
      <sheetName val="APU_ANTICORROSIVO2"/>
      <sheetName val="APU_LIMPIEZA_Y_PINTURA2"/>
      <sheetName val="APU_REFUERZOS2"/>
      <sheetName val="APU_ADECUACIÓN_PASAMANOS2"/>
      <sheetName val="APU_DESMONTE_BARANDA2"/>
      <sheetName val="APU_REINSTALACIÓN_BARANDA2"/>
      <sheetName val="APU_BARANDA_NUEVA2"/>
      <sheetName val="APU_PINTURA_BARANDA2"/>
      <sheetName val="APU_CONCRETO_-_METALDECK2"/>
      <sheetName val="Est_y_Dis3"/>
      <sheetName val="Fondo_Ensayos3"/>
      <sheetName val="Obra_puente3"/>
      <sheetName val="Fondo_Ajustes3"/>
      <sheetName val="FACTOR_MULTIPLICADOR3"/>
      <sheetName val="Datos_Generales3"/>
      <sheetName val="APU_ANTICORROSIVO3"/>
      <sheetName val="APU_LIMPIEZA_Y_PINTURA3"/>
      <sheetName val="APU_REFUERZOS3"/>
      <sheetName val="APU_ADECUACIÓN_PASAMANOS3"/>
      <sheetName val="APU_DESMONTE_BARANDA3"/>
      <sheetName val="APU_REINSTALACIÓN_BARANDA3"/>
      <sheetName val="APU_BARANDA_NUEVA3"/>
      <sheetName val="APU_PINTURA_BARANDA3"/>
      <sheetName val="APU_CONCRETO_-_METALDECK3"/>
      <sheetName val="Est_y_Dis5"/>
      <sheetName val="Fondo_Ensayos5"/>
      <sheetName val="Obra_puente5"/>
      <sheetName val="Fondo_Ajustes5"/>
      <sheetName val="FACTOR_MULTIPLICADOR5"/>
      <sheetName val="Datos_Generales5"/>
      <sheetName val="APU_ANTICORROSIVO5"/>
      <sheetName val="APU_LIMPIEZA_Y_PINTURA5"/>
      <sheetName val="APU_REFUERZOS5"/>
      <sheetName val="APU_ADECUACIÓN_PASAMANOS5"/>
      <sheetName val="APU_DESMONTE_BARANDA5"/>
      <sheetName val="APU_REINSTALACIÓN_BARANDA5"/>
      <sheetName val="APU_BARANDA_NUEVA5"/>
      <sheetName val="APU_PINTURA_BARANDA5"/>
      <sheetName val="APU_CONCRETO_-_METALDECK5"/>
      <sheetName val="Est_y_Dis6"/>
      <sheetName val="Fondo_Ensayos6"/>
      <sheetName val="Obra_puente6"/>
      <sheetName val="Fondo_Ajustes6"/>
      <sheetName val="FACTOR_MULTIPLICADOR6"/>
      <sheetName val="Datos_Generales6"/>
      <sheetName val="APU_ANTICORROSIVO6"/>
      <sheetName val="APU_LIMPIEZA_Y_PINTURA6"/>
      <sheetName val="APU_REFUERZOS6"/>
      <sheetName val="APU_ADECUACIÓN_PASAMANOS6"/>
      <sheetName val="APU_DESMONTE_BARANDA6"/>
      <sheetName val="APU_REINSTALACIÓN_BARANDA6"/>
      <sheetName val="APU_BARANDA_NUEVA6"/>
      <sheetName val="APU_PINTURA_BARANDA6"/>
      <sheetName val="APU_CONCRETO_-_METALDECK6"/>
      <sheetName val="Est_y_Dis7"/>
      <sheetName val="Fondo_Ensayos7"/>
      <sheetName val="Obra_puente7"/>
      <sheetName val="Fondo_Ajustes7"/>
      <sheetName val="FACTOR_MULTIPLICADOR7"/>
      <sheetName val="Datos_Generales7"/>
      <sheetName val="APU_ANTICORROSIVO7"/>
      <sheetName val="APU_LIMPIEZA_Y_PINTURA7"/>
      <sheetName val="APU_REFUERZOS7"/>
      <sheetName val="APU_ADECUACIÓN_PASAMANOS7"/>
      <sheetName val="APU_DESMONTE_BARANDA7"/>
      <sheetName val="APU_REINSTALACIÓN_BARANDA7"/>
      <sheetName val="APU_BARANDA_NUEVA7"/>
      <sheetName val="APU_PINTURA_BARANDA7"/>
      <sheetName val="APU_CONCRETO_-_METALDECK7"/>
    </sheetNames>
    <sheetDataSet>
      <sheetData sheetId="0" refreshError="1"/>
      <sheetData sheetId="1" refreshError="1"/>
      <sheetData sheetId="2" refreshError="1"/>
      <sheetData sheetId="3">
        <row r="105">
          <cell r="J105">
            <v>0.2394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 DE 1995 - 1996"/>
      <sheetName val="CONT_ADI"/>
      <sheetName val="Datos"/>
      <sheetName val="aCCIDENTES%20DE%201995%20-%2019"/>
      <sheetName val="aCCIDENTES DE 1995 - 1996.xls"/>
      <sheetName val="items"/>
      <sheetName val="ACTA DE MODIFICACION  (2)"/>
      <sheetName val="INDICMICROEMP"/>
      <sheetName val="#¡REF"/>
      <sheetName val="\a  aaInformación GRUPO 4\A MIn"/>
      <sheetName val="MATERIALES"/>
      <sheetName val="Datos Básicos"/>
      <sheetName val="SALARIOS"/>
      <sheetName val="Informacion"/>
      <sheetName val="SUB APU"/>
      <sheetName val="Informe"/>
      <sheetName val="Seguim-16"/>
      <sheetName val="INV"/>
      <sheetName val="AASHTO"/>
      <sheetName val="PESOS"/>
      <sheetName val="Formulario N° 4"/>
      <sheetName val="EQUIPO"/>
      <sheetName val="Res-Accide-10"/>
      <sheetName val="otros"/>
      <sheetName val="PRESUPUESTO"/>
      <sheetName val="Base Muestras"/>
      <sheetName val="aCCIDENTES_DE_1995_-_1996"/>
      <sheetName val="aCCIDENTES_DE_1995_-_1996_xls"/>
      <sheetName val="\a__aaInformación_GRUPO_4\A_MIn"/>
      <sheetName val="ACTA_DE_MODIFICACION__(2)"/>
      <sheetName val="aCCIDENTES_DE_1995_-_19961"/>
      <sheetName val="aCCIDENTES_DE_1995_-_1996_xls1"/>
      <sheetName val="\a__aaInformación_GRUPO_4\A_MI1"/>
      <sheetName val="ACTA_DE_MODIFICACION__(2)1"/>
      <sheetName val="SUB_APU"/>
      <sheetName val="Datos_Básicos"/>
      <sheetName val="aCCIDENTES_DE_1995_-_19962"/>
      <sheetName val="aCCIDENTES_DE_1995_-_1996_xls2"/>
      <sheetName val="\a__aaInformación_GRUPO_4\A_MI2"/>
      <sheetName val="ACTA_DE_MODIFICACION__(2)2"/>
      <sheetName val="SUB_APU1"/>
      <sheetName val="Datos_Básicos1"/>
      <sheetName val="\AMV _ no borrar\PRESUPUESTOS\a"/>
      <sheetName val="\I\AMV _ no borrar\PRESUPUESTOS"/>
      <sheetName val="\G\I\AMV _ no borrar\PRESUPUEST"/>
      <sheetName val="\A\a  aaInformación GRUPO 4\A M"/>
      <sheetName val="\G\A\a  aaInformación GRUPO 4\A"/>
      <sheetName val="\\Giovanni\administracion vial\"/>
      <sheetName val="\MONTO AGOTABLE 2010\a  aaInfor"/>
      <sheetName val="MAT"/>
      <sheetName val="HER"/>
      <sheetName val="PER"/>
      <sheetName val="TRANS"/>
      <sheetName val="[aCCIDENTES DE 1995 - 1996.xls]"/>
      <sheetName val="\\Escritorio\amv 2011\a  aaInfo"/>
      <sheetName val="\I\A\a  aaInformación GRUPO 4\A"/>
      <sheetName val="\K\a  aaInformación GRUPO 4\A M"/>
      <sheetName val="\I\K\a  aaInformación GRUPO 4\A"/>
      <sheetName val="\H\a  aaInformación GRUPO 4\A M"/>
      <sheetName val="\I\H\a  aaInformación GRUPO 4\A"/>
      <sheetName val="\\INTERVIALNUBE\Documents and S"/>
      <sheetName val="PR 1"/>
      <sheetName val="Lista obra"/>
      <sheetName val="\Documents and Settings\Pedro "/>
      <sheetName val="\Users\Administrador\Desktop\AM"/>
      <sheetName val="\\Ing-her"/>
      <sheetName val="\Users\cmeza\Documents\INVIAS\D"/>
      <sheetName val="\Documents and Settings\jviteri"/>
      <sheetName val="\Users\avargase\AppData\Local\M"/>
      <sheetName val="\Mini HP Enero 2015\Proyectos i"/>
      <sheetName val="\C\Users\avargase\AppData\Local"/>
      <sheetName val="\Volumes\USB PIOLIN\Escritorio\"/>
      <sheetName val="\\Sistemas_serv1\xx\Documents a"/>
      <sheetName val="aCCIDENTES_DE_1995_-_19963"/>
      <sheetName val="aCCIDENTES_DE_1995_-_19964"/>
      <sheetName val="aCCIDENTES_DE_1995_-_19965"/>
      <sheetName val="aCCIDENTES_DE_1995_-_19966"/>
      <sheetName val="aCCIDENTES_DE_1995_-_19967"/>
      <sheetName val="aCCIDENTES_DE_1995_-_19969"/>
      <sheetName val="aCCIDENTES_DE_1995_-_19968"/>
      <sheetName val="aCCIDENTES_DE_1995_-_199610"/>
      <sheetName val="aCCIDENTES_DE_1995_-_199614"/>
      <sheetName val="aCCIDENTES_DE_1995_-_1996_xls5"/>
      <sheetName val="aCCIDENTES_DE_1995_-_1996_xls3"/>
      <sheetName val="aCCIDENTES_DE_1995_-_199611"/>
      <sheetName val="aCCIDENTES_DE_1995_-_199612"/>
      <sheetName val="aCCIDENTES_DE_1995_-_199613"/>
      <sheetName val="aCCIDENTES_DE_1995_-_1996_xls4"/>
      <sheetName val="aCCIDENTES_DE_1995_-_199615"/>
      <sheetName val="aCCIDENTES_DE_1995_-_199616"/>
      <sheetName val="aCCIDENTES_DE_1995_-_199617"/>
      <sheetName val="aCCIDENTES_DE_1995_-_199618"/>
      <sheetName val="aCCIDENTES_DE_1995_-_1996_xls6"/>
      <sheetName val="aCCIDENTES_DE_1995_-_199619"/>
      <sheetName val="aCCIDENTES_DE_1995_-_199620"/>
      <sheetName val="aCCIDENTES_DE_1995_-_1996_xls7"/>
      <sheetName val="aCCIDENTES_DE_1995_-_199621"/>
      <sheetName val="aCCIDENTES_DE_1995_-_199622"/>
      <sheetName val="aCCIDENTES_DE_1995_-_199623"/>
      <sheetName val="aCCIDENTES_DE_1995_-_199624"/>
      <sheetName val="aCCIDENTES_DE_1995_-_199625"/>
      <sheetName val="aCCIDENTES_DE_1995_-_199626"/>
      <sheetName val="aCCIDENTES_DE_1995_-_199627"/>
      <sheetName val="aCCIDENTES_DE_1995_-_1996_xls8"/>
      <sheetName val="aCCIDENTES_DE_1995_-_199628"/>
      <sheetName val="aCCIDENTES_DE_1995_-_199629"/>
      <sheetName val="aCCIDENTES_DE_1995_-_199630"/>
      <sheetName val="aCCIDENTES_DE_1995_-_199631"/>
      <sheetName val="aCCIDENTES_DE_1995_-_1996_xls9"/>
      <sheetName val="aCCIDENTES_DE_1995_-_199632"/>
      <sheetName val="\Users\USUARIO\Downloads\a  aaI"/>
      <sheetName val="Insumos"/>
      <sheetName val="Analisis Mano de Obra"/>
      <sheetName val="SEÑALIZACION CINTA"/>
      <sheetName val="TUBERIA DESAGUE DE 2&quot;"/>
      <sheetName val="TUBERIA  DE SUCCIÓN DE 2"/>
      <sheetName val="TUBERIA DE PRESIÓN 1 1-2 RDE21"/>
      <sheetName val="TUBERIA DE 1 1-2"/>
      <sheetName val="CODO DE 1 1 2&quot;X90°"/>
      <sheetName val="VALBULA DE PASO DE 2&quot;"/>
      <sheetName val="VALBULA DE CIERRE DE 1 1 2&quot; "/>
      <sheetName val="TANQUE HIDROACUMULADOR"/>
      <sheetName val="ELECTROBOMBAS CENTRIFUGAS"/>
      <sheetName val="LOSA SUPERIOR DEL TANQUE "/>
      <sheetName val="PAREDES DEL TANQUE"/>
      <sheetName val="LOSA DE FONDO DEL TANQUE"/>
      <sheetName val="SOLADO DE LIMP. 2500 PSI"/>
      <sheetName val="CUPULAS TRAG 4X3"/>
      <sheetName val="SALIDA SONIDO"/>
      <sheetName val="CANAL EN LAMINA GALV"/>
      <sheetName val="CUBIERTA LUXALON"/>
      <sheetName val="TENDIDO DE CABLE No.8 "/>
      <sheetName val="VAR. COBRE 2.44X5-8"/>
      <sheetName val="CAJA EN MAMPOSTERÍA"/>
      <sheetName val="CAJA DE PASO METÁLICA"/>
      <sheetName val="BAJANTE ACOM. ELECTRICA 1&quot;"/>
      <sheetName val="SISTEMA DE TIERRA Y MALLA"/>
      <sheetName val="CERTIFICADO DE RECIBO"/>
      <sheetName val="TRAMITE APROBAR"/>
      <sheetName val="APLIQUE DE 25W"/>
      <sheetName val="LUMINARIA FLUORESCENTE DE 2X32W"/>
      <sheetName val="LÁMPARA METAL HALIDE 250W"/>
      <sheetName val="DUCTO PVC DE 3&quot;"/>
      <sheetName val="DUCTO PVC DE 1&quot;"/>
      <sheetName val="TENDIDO DE ACOMETIDA BIFÁSICA"/>
      <sheetName val="TELERRUPTOR BIPOLAR DE 16 AM"/>
      <sheetName val="TABLERO MINIPRAGMA DE 12 C"/>
      <sheetName val="AUTOMÁTICO INDUSTRIAL"/>
      <sheetName val="AUTOMÁTICO TIPO RIEL 2"/>
      <sheetName val="AUTOMÁTICO TIPO RIEL 1"/>
      <sheetName val="SALIDA PARA PULSADOR"/>
      <sheetName val="SALIDA TOMA MONOFACISA 10"/>
      <sheetName val="SALIDA TOMA MONOFASICA 12"/>
      <sheetName val="SALIDA PARA APLIQUE"/>
      <sheetName val="SALIDA LAMPARA FLUORESCENTE"/>
      <sheetName val="DERIVACION DE LUMINARIA"/>
      <sheetName val="SALIDA PARA LÁMPARA METAL"/>
      <sheetName val="Transformador 25 KVA"/>
      <sheetName val="Acometida Subt Baja Tensión"/>
      <sheetName val="Puesta a Tierra"/>
      <sheetName val="Tablero Bifasico 24 Circuitos"/>
      <sheetName val="Salida Luminaria Cerrada"/>
      <sheetName val="Salida Toma 120 V"/>
      <sheetName val="Salida Toma 220 V"/>
      <sheetName val="Tendido Alumbrado Publico"/>
      <sheetName val="Ducto Tuberia Conduit PVC 3 -4"/>
      <sheetName val="Sumin e Inst luminaria Brika"/>
      <sheetName val="Sumin e Inst luminaria Cerrada"/>
      <sheetName val="Sumin e Inst Poste ITO"/>
      <sheetName val="Sumin y mont Caja metal"/>
      <sheetName val="Sardinel prefabricado Tipo A"/>
      <sheetName val="LIMPIEZA Y DESCAPOTE"/>
      <sheetName val="LOCALIZACIÓN Y REPLANTEO"/>
      <sheetName val="DEMOLICON DE MUROS"/>
      <sheetName val="EXCAVACION MANUAL"/>
      <sheetName val="Demolicion de Graderias Exist"/>
      <sheetName val="RELLENO BASE GRANULAR"/>
      <sheetName val="RELLENO TIERRA NEGRA"/>
      <sheetName val="EMPRADIZACIÓN"/>
      <sheetName val="CONCRETO DE LIMPIEZA"/>
      <sheetName val="ZAPATAS"/>
      <sheetName val="VIGA DE CIMIENTO"/>
      <sheetName val="COLUMNAS"/>
      <sheetName val="VIGA AEREA"/>
      <sheetName val="GRADERIAS"/>
      <sheetName val="CERCHAS CELOSIA"/>
      <sheetName val="CORREAS"/>
      <sheetName val="Sum e Inst de Medidor"/>
      <sheetName val="Sum e Inst de lavamanos de empo"/>
      <sheetName val="Muros divisorios bloque No. 4"/>
      <sheetName val="Pañete sobre muros"/>
      <sheetName val="Pintura tipo koraza"/>
      <sheetName val="Ceramica 30x30, incluye win "/>
      <sheetName val="Granito Pulido"/>
      <sheetName val="Bordillos ducha ceram."/>
      <sheetName val="poceta de aseo en granito"/>
      <sheetName val="Alistado de piso mortero imp."/>
      <sheetName val="Piso en baldosa de granito"/>
      <sheetName val="media caña en granito"/>
      <sheetName val="Alfajia a la vista"/>
      <sheetName val="Tubería PVCS 2&quot; "/>
      <sheetName val="Tuberia aguas lluvias bajante"/>
      <sheetName val="Tuberia PVC aguas lluvias 3&quot;"/>
      <sheetName val="Puntos Hidráulicos 1 2&quot; "/>
      <sheetName val="tuberia pvc ag lluvia 4&quot;"/>
      <sheetName val="tuberia pvc corrugada 6&quot; "/>
      <sheetName val="tuberia pvc corrugada 8&quot; "/>
      <sheetName val="Tubería PVC 6&quot; Tipo Fort"/>
      <sheetName val="FILTRO DRENAJE 4&quot;"/>
      <sheetName val="FILTRO DRENAJE 6&quot;"/>
      <sheetName val="FILTRO DRENAJE 8&quot;"/>
      <sheetName val="Tubería PVC 4&quot; corrugada AN"/>
      <sheetName val="Tuberia PVC 6&quot; Corrugada AN"/>
      <sheetName val="Tuberia PVC 8&quot; Corrugada AN"/>
      <sheetName val="Tubería PVC 3&quot; sanitaria"/>
      <sheetName val="Tubería PVC 4&quot; sanitaria"/>
      <sheetName val="Registro RW de 1&quot;"/>
      <sheetName val="Registro RW de 1 1 2&quot;"/>
      <sheetName val="Válvula de corte tipo RW 3 ,4&quot; "/>
      <sheetName val="Sum e inst. lavamanos de colg"/>
      <sheetName val="Sum e inst. lavaplatos"/>
      <sheetName val="Tubería PVC san 2&quot; "/>
      <sheetName val="Puntos Sanitarios 2&quot; "/>
      <sheetName val="Puntos Sanitarios 4&quot;  "/>
      <sheetName val="TUBERIA PVC V D  3&quot; "/>
      <sheetName val="TUBERIA PVC VD 4&quot;"/>
      <sheetName val="TUBERIA PVC V D  3&quot; A. LL"/>
      <sheetName val="TERMINAL DE VENTILACIÓN D  3&quot; "/>
      <sheetName val="TUBERIA PVCP 1 1- 2&quot; "/>
      <sheetName val="TUBERIA PVC P D  1- 2&quot;"/>
      <sheetName val="Tuberioa PVC 3- 4&quot; "/>
      <sheetName val="TUBERIA PVC P D  1&quot;"/>
      <sheetName val="TUBERIA PVC P D  1 1-2&quot;"/>
      <sheetName val="CAJA PLASTICA PARA VALVULAS "/>
      <sheetName val="Sum. e inst. Inodoro tanque"/>
      <sheetName val="Sum. e inst. orinal de llave"/>
      <sheetName val="Sum. e inst. ducha"/>
      <sheetName val="Sum. e inst. sanitario niño"/>
      <sheetName val="Canal en lamina galv cal 20"/>
      <sheetName val="Ventana con marco lam."/>
      <sheetName val="Ventana con marco corrediza"/>
      <sheetName val="Puerta doble con marco"/>
      <sheetName val="Puerta division baño 1,12x1,60"/>
      <sheetName val="Puerta division baño 60x1,60"/>
      <sheetName val="Puerta con marco entamborada"/>
      <sheetName val="Espejo en cristal 4 mm"/>
      <sheetName val="Espejo en cristal 4 mm con marc"/>
      <sheetName val="Excavación a maquina"/>
      <sheetName val="Cerramiento exterior"/>
      <sheetName val="Hoja1 (2)"/>
      <sheetName val="Hoja1 (3)"/>
      <sheetName val="01"/>
      <sheetName val="Ruta 01"/>
      <sheetName val="AFECTACION 01 "/>
      <sheetName val="EJECUCION C"/>
      <sheetName val="Inf Financiera 01"/>
      <sheetName val="02"/>
      <sheetName val="RUTA 02"/>
      <sheetName val="AFECTACION 02"/>
      <sheetName val="EJECUCION C. 02"/>
      <sheetName val="INF FINANCIERA 02"/>
      <sheetName val="03"/>
      <sheetName val="RUTA 03"/>
      <sheetName val="AFECTACION 03"/>
      <sheetName val="EJECUCION C. 03"/>
      <sheetName val="INF FINANCIERA 03"/>
      <sheetName val="04"/>
      <sheetName val="RUTA 04"/>
      <sheetName val="AFECTACION 04"/>
      <sheetName val="EJECUCION C. 04"/>
      <sheetName val="INF FINANCIERA 04"/>
      <sheetName val="05"/>
      <sheetName val="RUTA 05"/>
      <sheetName val="AFECTACION 05"/>
      <sheetName val="EJECUCION C. 05"/>
      <sheetName val="INF FINANCIERA 05"/>
      <sheetName val="06"/>
      <sheetName val="RUTA 06"/>
      <sheetName val="AFECTACION 06"/>
      <sheetName val="EJECUCION C. 06"/>
      <sheetName val="INF FINANCIERA 06"/>
      <sheetName val="07"/>
      <sheetName val="RUTA 07"/>
      <sheetName val="AFECTACION 07"/>
      <sheetName val="EJECUCION C. 07"/>
      <sheetName val="INF FINANCIERA 07"/>
      <sheetName val="08"/>
      <sheetName val="RUTA 08"/>
      <sheetName val="AFECTACION 08"/>
      <sheetName val="EJECUCION C. 08"/>
      <sheetName val="INF FINANCIERA 08"/>
      <sheetName val="09"/>
      <sheetName val="RUTA 09"/>
      <sheetName val="AFECTACION 09"/>
      <sheetName val="EJECUCION C. 09"/>
      <sheetName val="INF FINANCIERA 09"/>
      <sheetName val="10"/>
      <sheetName val="RUTA 10"/>
      <sheetName val="AFECTACION 10"/>
      <sheetName val="EJECUCION C. 10"/>
      <sheetName val="INF FINANCIERA 10"/>
      <sheetName val="11"/>
      <sheetName val="RUTA 11"/>
      <sheetName val="AFECTACION 11"/>
      <sheetName val="EJECUCION C. 11"/>
      <sheetName val="INF FINANCIERA 11"/>
      <sheetName val="MINFRA-MN-IN-15-FR-13"/>
      <sheetName val="precios-básicos2002"/>
      <sheetName val="APUs"/>
      <sheetName val="#REF"/>
      <sheetName val="Hoja2"/>
      <sheetName val="\Users\HP\AppData\Local\Microso"/>
      <sheetName val="SEGUIM Y REPROG MES 1 (2)"/>
      <sheetName val="_a  aaInformación GRUPO 4_A MIn"/>
      <sheetName val="aCCIDENTES_DE_1995_-_199633"/>
      <sheetName val="aCCIDENTES_DE_1995_-_1996_xls10"/>
      <sheetName val="aCCIDENTES_DE_1995_-_199634"/>
      <sheetName val="aCCIDENTES_DE_1995_-_1996_xls11"/>
      <sheetName val="aCCIDENTES_DE_1995_-_199635"/>
      <sheetName val="aCCIDENTES_DE_1995_-_1996_xls12"/>
      <sheetName val="aCCIDENTES_DE_1995_-_199636"/>
      <sheetName val="aCCIDENTES_DE_1995_-_1996_xls13"/>
      <sheetName val="SUB_APU2"/>
      <sheetName val="Datos_Básicos2"/>
      <sheetName val="aCCIDENTES_DE_1995_-_199637"/>
      <sheetName val="aCCIDENTES_DE_1995_-_1996_xls14"/>
      <sheetName val="SUB_APU3"/>
      <sheetName val="ACTA_DE_MODIFICACION__(2)3"/>
      <sheetName val="\a__aaInformación_GRUPO_4\A_MI3"/>
      <sheetName val="Datos_Básicos3"/>
      <sheetName val="Inicio"/>
      <sheetName val="Conceptos básicos"/>
      <sheetName val="Introducción a las funciones"/>
      <sheetName val="PROMEDIO"/>
      <sheetName val="MIN y MAX"/>
      <sheetName val="Fecha y hora"/>
      <sheetName val="Unir texto y números"/>
      <sheetName val="Instrucciones SI"/>
      <sheetName val="BUSCARV"/>
      <sheetName val="Funciones condicionales"/>
      <sheetName val="Asistente para funciones"/>
      <sheetName val="Errores de fórmula"/>
      <sheetName val="Obtener más información"/>
      <sheetName val="CANT OBRA"/>
      <sheetName val="PORTADA"/>
      <sheetName val="ADMINISTRATIVOS"/>
      <sheetName val="DESC MPAL Y AIU"/>
      <sheetName val="FCN"/>
      <sheetName val="CONCRETOS Y MORTEROS"/>
      <sheetName val="PROYECCIÓN DE COSTOS"/>
      <sheetName val="PROYECCIÓN DE COSTO CLASIFICADO"/>
      <sheetName val="PROYECCIÓN DE COSTO OBRA"/>
      <sheetName val="PROYECCIÓN DE AIU"/>
      <sheetName val="PROYECCIÓN DE AIU (2)"/>
      <sheetName val="PROYECCIÓN DE PAGA &amp; PMT"/>
      <sheetName val="LINEA BASE SALARIOS"/>
      <sheetName val="ESTADO VÍA-CRIT.TECNICO"/>
      <sheetName val="EQUIPOS"/>
      <sheetName val="MANO DE OBRA"/>
      <sheetName val="TRANSPORTE"/>
      <sheetName val="\Users\ANDRES FELIPE MUÑOZ\Down"/>
      <sheetName val="_aCCIDENTES_DE_1995___1996_xl_2"/>
      <sheetName val="//ccefici"/>
      <sheetName val="aCCIDENTES_DE_1995_-_199638"/>
      <sheetName val="aCCIDENTES_DE_1995_-_1996_xls15"/>
      <sheetName val="SUB_APU4"/>
      <sheetName val="ACTA_DE_MODIFICACION__(2)4"/>
      <sheetName val="\a__aaInformación_GRUPO_4\A_MI4"/>
      <sheetName val="Datos_Básicos4"/>
      <sheetName val="aCCIDENTES_DE_1995_-_199639"/>
      <sheetName val="aCCIDENTES_DE_1995_-_199640"/>
      <sheetName val="aCCIDENTES_DE_1995_-_1996_xls16"/>
      <sheetName val="SUB_APU5"/>
      <sheetName val="ACTA_DE_MODIFICACION__(2)5"/>
      <sheetName val="\a__aaInformación_GRUPO_4\A_MI5"/>
      <sheetName val="Datos_Básicos5"/>
      <sheetName val="aCCIDENTES_DE_1995_-_199641"/>
      <sheetName val="aCCIDENTES_DE_1995_-_1996_xls17"/>
      <sheetName val="SUB_APU6"/>
      <sheetName val="ACTA_DE_MODIFICACION__(2)6"/>
      <sheetName val="\a__aaInformación_GRUPO_4\A_MI6"/>
      <sheetName val="Datos_Básicos6"/>
      <sheetName val="aCCIDENTES_DE_1995_-_199642"/>
      <sheetName val="aCCIDENTES_DE_1995_-_199644"/>
      <sheetName val="aCCIDENTES_DE_1995_-_1996_xls19"/>
      <sheetName val="SUB_APU8"/>
      <sheetName val="ACTA_DE_MODIFICACION__(2)8"/>
      <sheetName val="\a__aaInformación_GRUPO_4\A_MI8"/>
      <sheetName val="Datos_Básicos8"/>
      <sheetName val="aCCIDENTES_DE_1995_-_199643"/>
      <sheetName val="aCCIDENTES_DE_1995_-_1996_xls18"/>
      <sheetName val="SUB_APU7"/>
      <sheetName val="ACTA_DE_MODIFICACION__(2)7"/>
      <sheetName val="\a__aaInformación_GRUPO_4\A_MI7"/>
      <sheetName val="Datos_Básicos7"/>
      <sheetName val="aCCIDENTES_DE_1995_-_199645"/>
      <sheetName val="aCCIDENTES_DE_1995_-_1996_xls20"/>
      <sheetName val="SUB_APU9"/>
      <sheetName val="ACTA_DE_MODIFICACION__(2)9"/>
      <sheetName val="\a__aaInformación_GRUPO_4\A_MI9"/>
      <sheetName val="Datos_Básicos9"/>
      <sheetName val="G.G"/>
      <sheetName val="MURO PR25+221-235"/>
      <sheetName val="MURO PR25+261-267"/>
      <sheetName val="LISTADO "/>
      <sheetName val="M.O."/>
      <sheetName val="ACTA No.1 "/>
      <sheetName val="ACTA No.5"/>
      <sheetName val="ACTA MAYORES - GENERAL"/>
      <sheetName val="//d.docs.live.net/a  aaInformac"/>
      <sheetName val="_aCCIDENTES_DE_1995___1996_xl_3"/>
      <sheetName val="_aCCIDENTES_DE_1995___1996_xl_6"/>
      <sheetName val="_aCCIDENTES_DE_1995___1996_xl_4"/>
      <sheetName val="_aCCIDENTES_DE_1995___1996_xl_5"/>
      <sheetName val="_aCCIDENTES_DE_1995___1996_xl_7"/>
      <sheetName val="_aCCIDENTES_DE_1995___1996_xl_8"/>
      <sheetName val="0. PORTADA"/>
      <sheetName val="1. FICHA INFORMATIVA"/>
      <sheetName val="PERSONAL"/>
      <sheetName val="2 y 3.  ESTADO"/>
      <sheetName val="4.  REG FOT."/>
      <sheetName val="4 reg Fot 2"/>
      <sheetName val="5.  INF. FINANCIERO"/>
      <sheetName val="6.  POLIZAS"/>
      <sheetName val="7.  BALANCE ACTIVIDADES"/>
      <sheetName val="8.  LIQUIDACION"/>
      <sheetName val="9. LISTA DE CHEQUEO"/>
      <sheetName val="GESPROY"/>
      <sheetName val="Hoja3"/>
      <sheetName val="INTERVENCION"/>
      <sheetName val="CAMBIA"/>
      <sheetName val="ACTA 9 (Espacio publico)"/>
      <sheetName val="ACTA 9  (VIAS)"/>
      <sheetName val="ACTA PIPMA 9"/>
      <sheetName val="PREACTA PIPMA 8 A-B-C-D-E y F "/>
      <sheetName val="1.4 Excavaciones a mano EP "/>
      <sheetName val="SALVEDAD 9"/>
      <sheetName val="TRANSPORTES (1)"/>
      <sheetName val="TRANSPORTES (2)"/>
      <sheetName val="1.4 Excavaciones a mano VIAS"/>
      <sheetName val="1.4 EXCAV PEP BARRIO BOLIVAR"/>
      <sheetName val="1.4 EXCAV PEP FRANCISCA"/>
      <sheetName val="2.1 Demolic anden PEP BOLIVAR"/>
      <sheetName val="2.1 Demol anden PEP FRCANAS"/>
      <sheetName val="2,2 Demolicion sardinel (EP) "/>
      <sheetName val="2.5 Excavaciones"/>
      <sheetName val="2.12 demolic pep bbolivar1"/>
      <sheetName val="3.1 conformacion"/>
      <sheetName val="3,2 Base "/>
      <sheetName val="3,3 Sub base"/>
      <sheetName val="NP 54 MDC-19"/>
      <sheetName val=" 3.11 NP68 MDC19"/>
      <sheetName val="3.14 Tpte Base"/>
      <sheetName val="3,15 Tpte Sub base1"/>
      <sheetName val="NP2 MAT de mejoramiento"/>
      <sheetName val="3.16 Tpte mat  mejoramiento"/>
      <sheetName val="3.17  TPTE MDC 19"/>
      <sheetName val="NP55 TRANSPORTE MDC-19 CHR"/>
      <sheetName val="3.19 ACERO DE REFUERZO 420 (1)"/>
      <sheetName val="3.22 Acero pasajunta y anclaje"/>
      <sheetName val="4.1 RELLENO MAT. ANDEN 8"/>
      <sheetName val="4.1 rell pep frcnas"/>
      <sheetName val="4.1 rell bbolivar"/>
      <sheetName val="TRANSPORTES"/>
      <sheetName val="4.3 anden B40"/>
      <sheetName val="4.3 Anden B40 frcnas"/>
      <sheetName val="4.16A PARADERO FRANCISCANAS"/>
      <sheetName val="4.16D PARADERO B.BOLIVAR"/>
      <sheetName val=" 4.3i-4.4i-4.51i  TPTES B40 "/>
      <sheetName val=" 4.13i-4.43i-4.44i tpte bordill"/>
      <sheetName val="4.16.13.9 S.E.I DURANTA"/>
      <sheetName val="4.4 EMPRADIZACIÓN"/>
      <sheetName val="4.4 prado pep bbolivar"/>
      <sheetName val="4.4 prado pep frcnas"/>
      <sheetName val="4,41 BORDILLO A80 (EP)"/>
      <sheetName val="4,43 SARDINEL A-10"/>
      <sheetName val="4,44 SARDINEL A-170 FALTANTE"/>
      <sheetName val="5.3 SEÑAL VTCAL"/>
      <sheetName val="5.4 SEÑAL BANDERA"/>
      <sheetName val="5.6 TACHAS REFLECTIVAS"/>
      <sheetName val="8.3 Reposicion Sumidero sencill"/>
      <sheetName val="8.5 EMPALME SUMIDEROS"/>
      <sheetName val="8.7 DEMOLICION SUMIDEROS"/>
      <sheetName val="NP1 Corte Pav DISCO"/>
      <sheetName val="NP5 Demolicion losa concret"/>
      <sheetName val="N.P 05  demol losas ccto BBoliv"/>
      <sheetName val="NP30 Tuberia PVC 10&quot; sumideros"/>
      <sheetName val="NP37 Sumidero sencillo"/>
      <sheetName val="NP50 Demolicion T. Recamara"/>
      <sheetName val="NP53 SELLO DE JUNTAS MORTERO"/>
      <sheetName val="NP55 IMPRIMANTE ML"/>
      <sheetName val="NP56 IMPRIMANTE M2"/>
      <sheetName val="NP 57  VTCAL con CURVA"/>
      <sheetName val="NP60 DEMARCACION VIAL ML"/>
      <sheetName val="NP61 DEMARCACIÓN VIAL  M2"/>
      <sheetName val=" ACTA FINAL + MODIFICATORIA "/>
      <sheetName val="HISTORICOS FUEL OIL EXP"/>
      <sheetName val="AC2-AG96"/>
      <sheetName val="COSTOS UNITARIOS"/>
      <sheetName val="CA-2909"/>
      <sheetName val="MURO PR25+267-273"/>
      <sheetName val="MURO PR25+273-277"/>
      <sheetName val="MURO PR25+407,20-409,90"/>
      <sheetName val="MURO PR25+409,90-416,40"/>
      <sheetName val="MURO PR25+435-447"/>
      <sheetName val="MURO PR25+557,5-572.56I"/>
      <sheetName val="MURO PR25+572.56-576.56I"/>
      <sheetName val="MURO PR25+565-571D"/>
      <sheetName val="MURO PR25+587.5-596.5I"/>
      <sheetName val="MURO PR25+600-607,1I"/>
      <sheetName val="MURO PR25+607,1-614,1"/>
      <sheetName val="MURO PR25+725-734D"/>
      <sheetName val="MURO PR25+786-792,4D"/>
      <sheetName val="MURO PR25+980D"/>
      <sheetName val="MURO PR25+019,5-PR26+026,8D"/>
      <sheetName val="MURO PR26+026,8-032,7D"/>
      <sheetName val="MURO PR26+032,7-038,7D"/>
      <sheetName val="MURO 4  PR26+038,7-045.9D"/>
      <sheetName val="MURO PR26+059,6-066,4D"/>
      <sheetName val="MURO PR26+132,5-143,4D"/>
      <sheetName val="MURO PR26+159,25-169,38D"/>
      <sheetName val="PR26+290"/>
      <sheetName val="PR26+580-592"/>
      <sheetName val="PR26+844-850"/>
      <sheetName val="PR26+850-856"/>
      <sheetName val="PR26+856-862"/>
      <sheetName val="MURO PR26+870-874"/>
      <sheetName val="MURO PR26+874,3-882,3"/>
      <sheetName val="MURO PR27+128,6-133,33"/>
      <sheetName val="MURO PR27+133,33-139,3D"/>
      <sheetName val="MURO PR27+281.9-287.9"/>
      <sheetName val="MURO PR27+344-352,1"/>
      <sheetName val="MURO PR27+352,1-358,2"/>
      <sheetName val="MURO PR27+358,2-364"/>
      <sheetName val="MURO PR27+364-370"/>
      <sheetName val="MURO PR27+360-374D"/>
      <sheetName val="MURO PR27+388-394I"/>
      <sheetName val="MURO PR27+394-400I "/>
      <sheetName val="MURO PR27+397-404D"/>
      <sheetName val="MURO PR27+457-463D "/>
      <sheetName val="MURO PR27+480,20-488,95D "/>
      <sheetName val="MURO PR27+785-793,6"/>
      <sheetName val="MURO PR27+796,10,800D"/>
      <sheetName val="MURO PR27+819.8-829.95I"/>
      <sheetName val="MURO PR27+820-840D"/>
      <sheetName val="MURO PR27+852-864I"/>
      <sheetName val="MURO PR28+030-041D "/>
      <sheetName val="MURO PR28+060-066.08D"/>
      <sheetName val="MURO PR28+105-111,25D "/>
      <sheetName val="MURO PR28+111,25-115.75D "/>
      <sheetName val="MURO PR28+240-263I"/>
      <sheetName val="MURO PR28+295-300.10D"/>
      <sheetName val="MURO PR28+300.10-306.1D "/>
      <sheetName val="MURO PR28+306.10-312.1D "/>
      <sheetName val="MURO PR28+312.1-318D "/>
      <sheetName val="MURO PR28+318.1-324.1D"/>
      <sheetName val="MURO PR28+652.7-662.7D "/>
      <sheetName val="MURO PR28+662.7D-668.8D"/>
      <sheetName val="MURO PR28+886-892.4D "/>
      <sheetName val="MURO PR28+895-899.5"/>
      <sheetName val="DUB-823"/>
      <sheetName val="GPI 526"/>
      <sheetName val="SKJ452"/>
      <sheetName val="ITA878"/>
      <sheetName val="AEA-944"/>
      <sheetName val="XXJ617"/>
      <sheetName val="SNG_855"/>
      <sheetName val="VEA 374"/>
      <sheetName val="HFB024"/>
      <sheetName val="PAJ825"/>
      <sheetName val="Excavación - San Bernardo"/>
      <sheetName val="Solados - San Bernardo"/>
      <sheetName val="Bases - San Bernardo"/>
      <sheetName val="Placa - San Bernardo"/>
      <sheetName val="Elevaciones - San Bernardo"/>
      <sheetName val="Vigas - San Bernardo"/>
      <sheetName val="Neopreno - San Bernardo"/>
      <sheetName val="Acero - San Bernardo"/>
      <sheetName val="Pilote - San Bernardo"/>
      <sheetName val="Pilote - Caqueza"/>
      <sheetName val="Dren tuberia - San bernardo"/>
      <sheetName val="relleno sitio - San bernardo"/>
      <sheetName val="relleno recebo - San bernardo"/>
      <sheetName val="Baranda - San bernardo"/>
      <sheetName val="Acero A36- San Bernardo"/>
      <sheetName val="Excavación - Caqueza"/>
      <sheetName val="Solados - Caqueza"/>
      <sheetName val="Bases - Caqueza"/>
      <sheetName val="Elevaciones - Caqueza"/>
      <sheetName val="Placa - Caqueza"/>
      <sheetName val="Vigas - Caqueza"/>
      <sheetName val="Neopreno - Caqueza"/>
      <sheetName val="Acero - Caqueza"/>
      <sheetName val="Dren tuberia - Caqueza"/>
      <sheetName val="relleno sitio - Caqueza"/>
      <sheetName val="Preesfuerzo - Caqueza"/>
      <sheetName val="Acero A36- Caqueza"/>
      <sheetName val="relleno Estructuras - Caqueza"/>
      <sheetName val="Excavación - Gama"/>
      <sheetName val="Solados - Gama"/>
      <sheetName val="Bases - Gama "/>
      <sheetName val="Elevaciones - Gama"/>
      <sheetName val="Placas - Gama"/>
      <sheetName val="Vigas - Gama "/>
      <sheetName val="Neopreno - Gama"/>
      <sheetName val="Acero - Gama"/>
      <sheetName val="Dren tuberia - Gama"/>
      <sheetName val="relleno sitio - Gama"/>
      <sheetName val="relleno Recebo - Gama"/>
      <sheetName val="Baranda - Gama"/>
      <sheetName val="Pilote - Gama"/>
      <sheetName val="Acero A36- Gama"/>
      <sheetName val="Demolición concreto - Gama"/>
      <sheetName val="Demolición de estructura - Gama"/>
      <sheetName val="Solados - Belen"/>
      <sheetName val="Bases - Belen"/>
      <sheetName val="Elevaciones - Belen"/>
      <sheetName val="Placa - Belen"/>
      <sheetName val="Neopreno - Belen"/>
      <sheetName val="Acero - Belen"/>
      <sheetName val="Vigas - Belen"/>
      <sheetName val="Dren tuberia - Belen"/>
      <sheetName val="relleno recebo - Belen"/>
      <sheetName val="Baranda - Belen"/>
      <sheetName val="Acero A36- Belen"/>
      <sheetName val="Demolición - Belen"/>
      <sheetName val="Bases - Junca"/>
      <sheetName val="Excavación - Belen"/>
      <sheetName val="Pilote - Belen"/>
      <sheetName val="Cuneta - Junca"/>
      <sheetName val="Placa - junca"/>
      <sheetName val="acero - junca"/>
      <sheetName val="Neopreno - Junca"/>
      <sheetName val="Dren tuberia - junca"/>
      <sheetName val="relleno - junca"/>
      <sheetName val="Baranda - Junca"/>
      <sheetName val="Acero A36 - junca"/>
      <sheetName val="Excavación - Medina"/>
      <sheetName val="Solados - Medina"/>
      <sheetName val="Bases - Medina"/>
      <sheetName val="Elevaciones - Medina ."/>
      <sheetName val="Vigas - Medina"/>
      <sheetName val="Neopreno - Medina"/>
      <sheetName val="Elevaciones - Medina"/>
      <sheetName val="Pilote - Medina"/>
      <sheetName val="Acero - Medina"/>
      <sheetName val="relleno - Medina"/>
      <sheetName val="Geotextil - Medina"/>
      <sheetName val="Excavación Mecan- zipaquira"/>
      <sheetName val="Acero A588 - Medina"/>
      <sheetName val="Acero A36 - Medina"/>
      <sheetName val="Acero - Zipaquira"/>
      <sheetName val="Excavación manual - zipaquira"/>
      <sheetName val="Solados - Zipaquira"/>
      <sheetName val="Relleno comun - Zipaquira"/>
      <sheetName val="Bases - Zipaquira"/>
      <sheetName val="Arme carrilera - Zipaquira"/>
      <sheetName val="Tirafondos - Zipaquira"/>
      <sheetName val="Clavos - Zipaquira"/>
      <sheetName val="Eclisas - Zipaquira"/>
      <sheetName val="Elastomericos - Zipaquira"/>
      <sheetName val="Traviesas - Zipaquira"/>
      <sheetName val="Riel - Zipaquira"/>
      <sheetName val="Acero A588 - zipaquira"/>
      <sheetName val="Acero A36 - zipaquira"/>
      <sheetName val="Elevaciones - Zipaquira"/>
      <sheetName val="ACTA MAYORES SAN BERNANDO"/>
      <sheetName val="ACTA MAYORES CAQUEZA"/>
      <sheetName val="ACTA MAYORES BELEN"/>
      <sheetName val="ACTA MAYORES ZIPAQUIRA"/>
      <sheetName val="ACTA MAYORES JUNCA DEF."/>
      <sheetName val="ACTA MAYORES CANT CARUP DEF."/>
      <sheetName val="_aCCIDENTES_DE_1995___1996_xl_9"/>
      <sheetName val="_aCCIDENTES_DE_1995___1996_x_10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 refreshError="1"/>
      <sheetData sheetId="277" refreshError="1"/>
      <sheetData sheetId="278"/>
      <sheetData sheetId="279" refreshError="1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 refreshError="1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/>
      <sheetData sheetId="413"/>
      <sheetData sheetId="414" refreshError="1"/>
      <sheetData sheetId="415" refreshError="1"/>
      <sheetData sheetId="416"/>
      <sheetData sheetId="417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 refreshError="1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 refreshError="1"/>
      <sheetData sheetId="507" refreshError="1"/>
      <sheetData sheetId="508" refreshError="1"/>
      <sheetData sheetId="509" refreshError="1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entacion"/>
      <sheetName val="Ejecutivo"/>
      <sheetName val="Resumen_Real"/>
      <sheetName val="TablasDinamicas"/>
      <sheetName val="HorasDetalladas"/>
      <sheetName val="46W9"/>
      <sheetName val="46W9_Hoja1"/>
      <sheetName val="46W9_Cuadro de costos"/>
      <sheetName val="46W9_Bases"/>
      <sheetName val="46W9_ASPECTOS ELECTRICOS"/>
      <sheetName val="46W9_OBRAS CIVILES"/>
      <sheetName val="46W9_Costo directos"/>
      <sheetName val="46W9_Resumen Costos"/>
      <sheetName val="46W9_Cuadro_de_costos"/>
      <sheetName val="46W9_ASPECTOS_ELECTRICOS"/>
      <sheetName val="46W9_OBRAS_CIVILES"/>
      <sheetName val="46W9_Costo_directos"/>
      <sheetName val="46W9_Resumen_Costos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"/>
      <sheetName val="Presupuesto"/>
      <sheetName val="ACTA 1"/>
      <sheetName val="ACTA 2"/>
      <sheetName val="1.1"/>
      <sheetName val="1.2"/>
      <sheetName val="1.3"/>
      <sheetName val="1.4"/>
      <sheetName val="2"/>
      <sheetName val="2.1"/>
      <sheetName val="2.2"/>
      <sheetName val="2.3"/>
      <sheetName val="2.4"/>
      <sheetName val="2.4 (2)"/>
      <sheetName val="2.5"/>
      <sheetName val="2.6"/>
      <sheetName val="2.7"/>
      <sheetName val="2.8"/>
      <sheetName val="2.9"/>
      <sheetName val="2.10"/>
      <sheetName val="OE-1"/>
      <sheetName val="pendiente"/>
      <sheetName val="OE-2"/>
    </sheetNames>
    <sheetDataSet>
      <sheetData sheetId="0"/>
      <sheetData sheetId="1">
        <row r="2">
          <cell r="A2" t="str">
            <v>1.1</v>
          </cell>
          <cell r="B2" t="str">
            <v>Demolición de estructuras en concreto: placas de concreto con espesor 0,2 mts.Incluye: llaves, elementos de confinamiento, cargue, transporte y botada del material sobrante en botadero oficial.</v>
          </cell>
          <cell r="C2" t="str">
            <v>m2</v>
          </cell>
        </row>
        <row r="3">
          <cell r="A3">
            <v>1.2</v>
          </cell>
          <cell r="B3" t="str">
            <v>Excavación manual de material  heterogéneo de 0-2 mts. Incluye; cargue, transporte y botada</v>
          </cell>
          <cell r="C3" t="str">
            <v>m3</v>
          </cell>
        </row>
        <row r="4">
          <cell r="A4">
            <v>1.3</v>
          </cell>
          <cell r="B4" t="str">
            <v>Demolición de pavimento asfáltico  para parcheos, incluye cargue y retiro de material sobrante</v>
          </cell>
          <cell r="C4" t="str">
            <v>m2</v>
          </cell>
        </row>
        <row r="5">
          <cell r="A5">
            <v>1.4</v>
          </cell>
          <cell r="B5" t="str">
            <v>Rehabilitacion de estructura vial por medio de proceso de Fresado del pavimento existente , incluye: Fresado de pavimento para el espesor existente o parte del mismo segun lo indicado por la interventoria,  perfilacion, adecuacion y  compactacion de la ca</v>
          </cell>
          <cell r="C5" t="str">
            <v>m3</v>
          </cell>
        </row>
        <row r="6">
          <cell r="A6" t="str">
            <v>ESTRUCTURA</v>
          </cell>
        </row>
        <row r="7">
          <cell r="A7">
            <v>2.1</v>
          </cell>
          <cell r="B7" t="str">
            <v>Suministro, transporte y colocación de base granular para estructura de vía y reemplazos en fallos.</v>
          </cell>
          <cell r="C7" t="str">
            <v>m3</v>
          </cell>
        </row>
        <row r="8">
          <cell r="A8">
            <v>2.2000000000000002</v>
          </cell>
          <cell r="B8" t="str">
            <v>Suministro, transporte y colocación de sub-base granular para reemplazos en estructura de vía</v>
          </cell>
          <cell r="C8" t="str">
            <v>m3</v>
          </cell>
        </row>
        <row r="9">
          <cell r="A9">
            <v>2.2999999999999998</v>
          </cell>
          <cell r="B9" t="str">
            <v>Suministro, transporte, colocación y compactación de mezcla asfáltica en parcheos con liga y cuadrilla para su debida colocación</v>
          </cell>
          <cell r="C9" t="str">
            <v>m3</v>
          </cell>
        </row>
        <row r="10">
          <cell r="A10">
            <v>2.4</v>
          </cell>
          <cell r="B10" t="str">
            <v>Suministro, transporte, colocación y compactación de carpeta asfáltica en vía con Finisher y su cuadrilla para su debida colocación</v>
          </cell>
          <cell r="C10" t="str">
            <v>m3</v>
          </cell>
        </row>
        <row r="11">
          <cell r="A11">
            <v>2.5</v>
          </cell>
          <cell r="B11" t="str">
            <v>Suministro, transporte, colocacion y compactacion de piedra para mejoramiento y reemplazos de fallos en subrasante</v>
          </cell>
          <cell r="C11" t="str">
            <v>m3</v>
          </cell>
        </row>
        <row r="12">
          <cell r="A12">
            <v>2.6</v>
          </cell>
          <cell r="B12" t="str">
            <v>Suministro, transporte y colocación de Cordón prefabricado de concreto f´c=210 kgf/cm2 tres caras, juntas ranuradas, dimensiones e 15x45x100 cm, incluye conformación del terreno, ajustes de concreto o pavimento donde sea necesario, mortero de asiento y pe</v>
          </cell>
          <cell r="C12" t="str">
            <v>ml</v>
          </cell>
        </row>
        <row r="13">
          <cell r="A13">
            <v>2.7</v>
          </cell>
          <cell r="B13" t="str">
            <v>Anden en concreto de 21 Mpa con e=0,08m con malla electrosoldada D-50 , incluye entresuelo e=0,15 m y recebo con e=0,05m.</v>
          </cell>
          <cell r="C13" t="str">
            <v>m2</v>
          </cell>
        </row>
        <row r="14">
          <cell r="A14">
            <v>2.8</v>
          </cell>
          <cell r="B14" t="str">
            <v>Suministro y construcción de sumidero tipo B en vía.  incluye rejilla: se construirá según especificaciones técnicas del mismo</v>
          </cell>
          <cell r="C14" t="str">
            <v>Un</v>
          </cell>
        </row>
        <row r="15">
          <cell r="A15">
            <v>2.9</v>
          </cell>
          <cell r="B15" t="str">
            <v>Suministro y colocación de Geotextil tejido tipo 2400 o similar para vias, incluye traslapos y todo lo necesario para su correcto funcionamiento</v>
          </cell>
          <cell r="C15" t="str">
            <v>m2</v>
          </cell>
        </row>
        <row r="16">
          <cell r="A16">
            <v>2.1</v>
          </cell>
          <cell r="B16" t="str">
            <v>Realce de MH Existentes. Incluye: el Suministro, transporte y colocacion de Cuello Prefabricado, tapa Prefabricada, concreto de 21 Mpa, cargue y retiro de escombros y todo lo necesario para su correcta ejecucion.</v>
          </cell>
          <cell r="C16" t="str">
            <v>Un</v>
          </cell>
        </row>
        <row r="17">
          <cell r="A17" t="str">
            <v>OE-1</v>
          </cell>
          <cell r="B17" t="str">
            <v>Suministro, transporte, colocación y compactación de base asfáltica en vía con Finisher y su cuadrilla para su debida colocación, incluye imprimacion.</v>
          </cell>
          <cell r="C17" t="str">
            <v>m3</v>
          </cell>
        </row>
        <row r="18">
          <cell r="A18" t="str">
            <v>OE-2</v>
          </cell>
          <cell r="B18" t="str">
            <v>suministro y aplicación de imprimacion con emulsion asfaltica cationica de rompimiento lento</v>
          </cell>
          <cell r="C18" t="str">
            <v>m2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DENTES DE 1995 - 1996"/>
      <sheetName val="\a  aaInformación GRUPO 4\A MIn"/>
      <sheetName val="#¡REF"/>
      <sheetName val="INDICMICROEMP"/>
      <sheetName val="Informacion"/>
      <sheetName val="Res-Accide-10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%20DE%201995%20-%2019"/>
      <sheetName val="ACTA DE MODIFICACION  (2)"/>
      <sheetName val="CONT_ADI"/>
      <sheetName val="Datos"/>
      <sheetName val="aCCIDENTES DE 1995 - 1996.xls"/>
      <sheetName val="items"/>
      <sheetName val="Informe"/>
      <sheetName val="Seguim-16"/>
      <sheetName val="otros"/>
      <sheetName val="PRESUPUESTO"/>
      <sheetName val="MATERIALES"/>
      <sheetName val="Datos Básicos"/>
      <sheetName val="SALARIOS"/>
      <sheetName val="SUB APU"/>
      <sheetName val="INV"/>
      <sheetName val="AASHTO"/>
      <sheetName val="PESOS"/>
      <sheetName val="Formulario N° 4"/>
      <sheetName val="EQUIPO"/>
      <sheetName val="[aCCIDENTES DE 1995 - 1996.xls]"/>
      <sheetName val="Base Muestras"/>
      <sheetName val="\Users\avargase\AppData\Local\M"/>
      <sheetName val="\\Escritorio\amv 2011\a  aaInfo"/>
      <sheetName val="\Mini HP Enero 2015\Proyectos i"/>
      <sheetName val="\C\Users\avargase\AppData\Local"/>
      <sheetName val="\Volumes\USB PIOLIN\Escritorio\"/>
      <sheetName val="01"/>
      <sheetName val="Ruta 01"/>
      <sheetName val="AFECTACION 01 "/>
      <sheetName val="EJECUCION C"/>
      <sheetName val="Inf Financiera 01"/>
      <sheetName val="02"/>
      <sheetName val="RUTA 02"/>
      <sheetName val="AFECTACION 02"/>
      <sheetName val="EJECUCION C. 02"/>
      <sheetName val="INF FINANCIERA 02"/>
      <sheetName val="03"/>
      <sheetName val="RUTA 03"/>
      <sheetName val="AFECTACION 03"/>
      <sheetName val="EJECUCION C. 03"/>
      <sheetName val="INF FINANCIERA 03"/>
      <sheetName val="04"/>
      <sheetName val="RUTA 04"/>
      <sheetName val="AFECTACION 04"/>
      <sheetName val="EJECUCION C. 04"/>
      <sheetName val="INF FINANCIERA 04"/>
      <sheetName val="05"/>
      <sheetName val="RUTA 05"/>
      <sheetName val="AFECTACION 05"/>
      <sheetName val="EJECUCION C. 05"/>
      <sheetName val="INF FINANCIERA 05"/>
      <sheetName val="06"/>
      <sheetName val="RUTA 06"/>
      <sheetName val="AFECTACION 06"/>
      <sheetName val="EJECUCION C. 06"/>
      <sheetName val="INF FINANCIERA 06"/>
      <sheetName val="07"/>
      <sheetName val="RUTA 07"/>
      <sheetName val="AFECTACION 07"/>
      <sheetName val="EJECUCION C. 07"/>
      <sheetName val="INF FINANCIERA 07"/>
      <sheetName val="08"/>
      <sheetName val="RUTA 08"/>
      <sheetName val="AFECTACION 08"/>
      <sheetName val="EJECUCION C. 08"/>
      <sheetName val="INF FINANCIERA 08"/>
      <sheetName val="09"/>
      <sheetName val="RUTA 09"/>
      <sheetName val="AFECTACION 09"/>
      <sheetName val="EJECUCION C. 09"/>
      <sheetName val="INF FINANCIERA 09"/>
      <sheetName val="10"/>
      <sheetName val="RUTA 10"/>
      <sheetName val="AFECTACION 10"/>
      <sheetName val="EJECUCION C. 10"/>
      <sheetName val="INF FINANCIERA 10"/>
      <sheetName val="11"/>
      <sheetName val="RUTA 11"/>
      <sheetName val="AFECTACION 11"/>
      <sheetName val="EJECUCION C. 11"/>
      <sheetName val="INF FINANCIERA 11"/>
      <sheetName val="MINFRA-MN-IN-15-FR-13"/>
      <sheetName val="precios-básicos2002"/>
      <sheetName val="APUs"/>
      <sheetName val="aCCIDENTES_DE_1995_-_1996"/>
      <sheetName val="aCCIDENTES_DE_1995_-_1996_xls"/>
      <sheetName val="ACTA_DE_MODIFICACION__(2)"/>
      <sheetName val="aCCIDENTES_DE_1995_-_19961"/>
      <sheetName val="aCCIDENTES_DE_1995_-_1996_xls1"/>
      <sheetName val="ACTA_DE_MODIFICACION__(2)1"/>
      <sheetName val="SUB_APU"/>
      <sheetName val="Datos_Básicos"/>
      <sheetName val="aCCIDENTES_DE_1995_-_19962"/>
      <sheetName val="aCCIDENTES_DE_1995_-_1996_xls2"/>
      <sheetName val="ACTA_DE_MODIFICACION__(2)2"/>
      <sheetName val="SUB_APU1"/>
      <sheetName val="Datos_Básicos1"/>
      <sheetName val="\a__aaInformación_GRUPO_4\A_MIn"/>
      <sheetName val="\a__aaInformación_GRUPO_4\A_MI1"/>
      <sheetName val="\a__aaInformación_GRUPO_4\A_MI2"/>
      <sheetName val="\AMV _ no borrar\PRESUPUESTOS\a"/>
      <sheetName val="\I\AMV _ no borrar\PRESUPUESTOS"/>
      <sheetName val="\G\I\AMV _ no borrar\PRESUPUEST"/>
      <sheetName val="\A\a  aaInformación GRUPO 4\A M"/>
      <sheetName val="\G\A\a  aaInformación GRUPO 4\A"/>
      <sheetName val="MURO PR25+221-235"/>
      <sheetName val="MURO PR25+261-267"/>
      <sheetName val="MURO PR25+267-273"/>
      <sheetName val="MURO PR25+273-277"/>
      <sheetName val="MURO PR25+407,20-409,90"/>
      <sheetName val="MURO PR25+409,90-416,40"/>
      <sheetName val="MURO PR25+435-447"/>
      <sheetName val="MURO PR25+557,5-572.56I"/>
      <sheetName val="MURO PR25+572.56-576.56I"/>
      <sheetName val="MURO PR25+565-571D"/>
      <sheetName val="MURO PR25+587.5-596.5I"/>
      <sheetName val="MURO PR25+600-607,1I"/>
      <sheetName val="MURO PR25+607,1-614,1"/>
      <sheetName val="MURO PR25+725-734D"/>
      <sheetName val="MURO PR25+786-792,4D"/>
      <sheetName val="MURO PR25+980D"/>
      <sheetName val="MURO PR25+019,5-PR26+026,8D"/>
      <sheetName val="MURO PR26+026,8-032,7D"/>
      <sheetName val="MURO PR26+032,7-038,7D"/>
      <sheetName val="MURO 4  PR26+038,7-045.9D"/>
      <sheetName val="MURO PR26+059,6-066,4D"/>
      <sheetName val="MURO PR26+132,5-143,4D"/>
      <sheetName val="MURO PR26+159,25-169,38D"/>
      <sheetName val="PR26+290"/>
      <sheetName val="PR26+580-592"/>
      <sheetName val="PR26+844-850"/>
      <sheetName val="PR26+850-856"/>
      <sheetName val="PR26+856-862"/>
      <sheetName val="MURO PR26+870-874"/>
      <sheetName val="MURO PR26+874,3-882,3"/>
      <sheetName val="MURO PR27+128,6-133,33"/>
      <sheetName val="MURO PR27+133,33-139,3D"/>
      <sheetName val="MURO PR27+281.9-287.9"/>
      <sheetName val="MURO PR27+344-352,1"/>
      <sheetName val="MURO PR27+352,1-358,2"/>
      <sheetName val="MURO PR27+358,2-364"/>
      <sheetName val="MURO PR27+364-370"/>
      <sheetName val="MURO PR27+360-374D"/>
      <sheetName val="MURO PR27+388-394I"/>
      <sheetName val="MURO PR27+394-400I "/>
      <sheetName val="MURO PR27+397-404D"/>
      <sheetName val="MURO PR27+457-463D "/>
      <sheetName val="MURO PR27+480,20-488,95D "/>
      <sheetName val="MURO PR27+785-793,6"/>
      <sheetName val="MURO PR27+796,10,800D"/>
      <sheetName val="MURO PR27+819.8-829.95I"/>
      <sheetName val="MURO PR27+820-840D"/>
      <sheetName val="MURO PR27+852-864I"/>
      <sheetName val="MURO PR28+030-041D "/>
      <sheetName val="MURO PR28+060-066.08D"/>
      <sheetName val="MURO PR28+105-111,25D "/>
      <sheetName val="MURO PR28+111,25-115.75D "/>
      <sheetName val="MURO PR28+240-263I"/>
      <sheetName val="MURO PR28+295-300.10D"/>
      <sheetName val="MURO PR28+300.10-306.1D "/>
      <sheetName val="MURO PR28+306.10-312.1D "/>
      <sheetName val="MURO PR28+312.1-318D "/>
      <sheetName val="MURO PR28+318.1-324.1D"/>
      <sheetName val="MURO PR28+652.7-662.7D "/>
      <sheetName val="MURO PR28+662.7D-668.8D"/>
      <sheetName val="MURO PR28+886-892.4D "/>
      <sheetName val="MURO PR28+895-899.5"/>
      <sheetName val="\\Giovanni\administracion vial\"/>
      <sheetName val="\MONTO AGOTABLE 2010\a  aaInfor"/>
      <sheetName val="_a  aaInformación GRUPO 4_A MIn"/>
      <sheetName val="\I\A\a  aaInformación GRUPO 4\A"/>
      <sheetName val="\K\a  aaInformación GRUPO 4\A M"/>
      <sheetName val="\I\K\a  aaInformación GRUPO 4\A"/>
      <sheetName val="\H\a  aaInformación GRUPO 4\A M"/>
      <sheetName val="\I\H\a  aaInformación GRUPO 4\A"/>
      <sheetName val="\\INTERVIALNUBE\Documents and S"/>
      <sheetName val="Lista obra"/>
      <sheetName val="\Documents and Settings\Pedro "/>
      <sheetName val="\Users\Administrador\Desktop\AM"/>
      <sheetName val="\\Ing-her"/>
      <sheetName val="\Users\cmeza\Documents\INVIAS\D"/>
      <sheetName val="\Documents and Settings\jviteri"/>
      <sheetName val="\\Sistemas_serv1\xx\Documents a"/>
      <sheetName val="aCCIDENTES_DE_1995_-_19963"/>
      <sheetName val="aCCIDENTES_DE_1995_-_19964"/>
      <sheetName val="aCCIDENTES_DE_1995_-_19965"/>
      <sheetName val="aCCIDENTES_DE_1995_-_19966"/>
      <sheetName val="aCCIDENTES_DE_1995_-_19967"/>
      <sheetName val="aCCIDENTES_DE_1995_-_19969"/>
      <sheetName val="aCCIDENTES_DE_1995_-_19968"/>
      <sheetName val="aCCIDENTES_DE_1995_-_199610"/>
      <sheetName val="aCCIDENTES_DE_1995_-_199614"/>
      <sheetName val="aCCIDENTES_DE_1995_-_1996_xls5"/>
      <sheetName val="aCCIDENTES_DE_1995_-_1996_xls3"/>
      <sheetName val="aCCIDENTES_DE_1995_-_199611"/>
      <sheetName val="aCCIDENTES_DE_1995_-_199612"/>
      <sheetName val="aCCIDENTES_DE_1995_-_199613"/>
      <sheetName val="aCCIDENTES_DE_1995_-_1996_xls4"/>
      <sheetName val="aCCIDENTES_DE_1995_-_199615"/>
      <sheetName val="aCCIDENTES_DE_1995_-_199616"/>
      <sheetName val="aCCIDENTES_DE_1995_-_199617"/>
      <sheetName val="aCCIDENTES_DE_1995_-_199618"/>
      <sheetName val="aCCIDENTES_DE_1995_-_1996_xls6"/>
      <sheetName val="aCCIDENTES_DE_1995_-_199619"/>
      <sheetName val="aCCIDENTES_DE_1995_-_199620"/>
      <sheetName val="aCCIDENTES_DE_1995_-_1996_xls7"/>
      <sheetName val="aCCIDENTES_DE_1995_-_199621"/>
      <sheetName val="aCCIDENTES_DE_1995_-_199622"/>
      <sheetName val="aCCIDENTES_DE_1995_-_199623"/>
      <sheetName val="aCCIDENTES_DE_1995_-_199624"/>
      <sheetName val="aCCIDENTES_DE_1995_-_199625"/>
      <sheetName val="aCCIDENTES_DE_1995_-_199626"/>
      <sheetName val="aCCIDENTES_DE_1995_-_199627"/>
      <sheetName val="aCCIDENTES_DE_1995_-_1996_xls8"/>
      <sheetName val="aCCIDENTES_DE_1995_-_199628"/>
      <sheetName val="aCCIDENTES_DE_1995_-_199629"/>
      <sheetName val="aCCIDENTES_DE_1995_-_199630"/>
      <sheetName val="aCCIDENTES_DE_1995_-_199631"/>
      <sheetName val="aCCIDENTES_DE_1995_-_1996_xls9"/>
      <sheetName val="aCCIDENTES_DE_1995_-_199632"/>
      <sheetName val="PR 1"/>
      <sheetName val="LETRAS"/>
      <sheetName val="CONTROL ADM"/>
      <sheetName val="RECIBO PARCIAL"/>
      <sheetName val="AVANCE SEMANAL"/>
      <sheetName val="Memoria de cantidades"/>
      <sheetName val="CARTILLA ACEROS"/>
      <sheetName val="PERSONAL"/>
      <sheetName val="REG FOTO"/>
      <sheetName val="BALANCE DE OBRA "/>
      <sheetName val="MAYORES Y MENORES"/>
      <sheetName val="CLIMA mes"/>
      <sheetName val="ACTA LIQUIDACION"/>
      <sheetName val="aactividad"/>
      <sheetName val="_aCCIDENTES_DE_1995___1996_xl_3"/>
      <sheetName val="_aCCIDENTES_DE_1995___1996_xl_2"/>
      <sheetName val="\Users\USUARIO\Downloads\a  aaI"/>
      <sheetName val="Insumos"/>
      <sheetName val="Analisis Mano de Obra"/>
      <sheetName val="SEÑALIZACION CINTA"/>
      <sheetName val="TUBERIA DESAGUE DE 2&quot;"/>
      <sheetName val="TUBERIA  DE SUCCIÓN DE 2"/>
      <sheetName val="TUBERIA DE PRESIÓN 1 1-2 RDE21"/>
      <sheetName val="TUBERIA DE 1 1-2"/>
      <sheetName val="CODO DE 1 1 2&quot;X90°"/>
      <sheetName val="VALBULA DE PASO DE 2&quot;"/>
      <sheetName val="VALBULA DE CIERRE DE 1 1 2&quot; "/>
      <sheetName val="TANQUE HIDROACUMULADOR"/>
      <sheetName val="ELECTROBOMBAS CENTRIFUGAS"/>
      <sheetName val="LOSA SUPERIOR DEL TANQUE "/>
      <sheetName val="PAREDES DEL TANQUE"/>
      <sheetName val="LOSA DE FONDO DEL TANQUE"/>
      <sheetName val="SOLADO DE LIMP. 2500 PSI"/>
      <sheetName val="CUPULAS TRAG 4X3"/>
      <sheetName val="SALIDA SONIDO"/>
      <sheetName val="CANAL EN LAMINA GALV"/>
      <sheetName val="CUBIERTA LUXALON"/>
      <sheetName val="TENDIDO DE CABLE No.8 "/>
      <sheetName val="VAR. COBRE 2.44X5-8"/>
      <sheetName val="CAJA EN MAMPOSTERÍA"/>
      <sheetName val="CAJA DE PASO METÁLICA"/>
      <sheetName val="BAJANTE ACOM. ELECTRICA 1&quot;"/>
      <sheetName val="SISTEMA DE TIERRA Y MALLA"/>
      <sheetName val="CERTIFICADO DE RECIBO"/>
      <sheetName val="TRAMITE APROBAR"/>
      <sheetName val="APLIQUE DE 25W"/>
      <sheetName val="LUMINARIA FLUORESCENTE DE 2X32W"/>
      <sheetName val="LÁMPARA METAL HALIDE 250W"/>
      <sheetName val="DUCTO PVC DE 3&quot;"/>
      <sheetName val="DUCTO PVC DE 1&quot;"/>
      <sheetName val="TENDIDO DE ACOMETIDA BIFÁSICA"/>
      <sheetName val="TELERRUPTOR BIPOLAR DE 16 AM"/>
      <sheetName val="TABLERO MINIPRAGMA DE 12 C"/>
      <sheetName val="AUTOMÁTICO INDUSTRIAL"/>
      <sheetName val="AUTOMÁTICO TIPO RIEL 2"/>
      <sheetName val="AUTOMÁTICO TIPO RIEL 1"/>
      <sheetName val="SALIDA PARA PULSADOR"/>
      <sheetName val="SALIDA TOMA MONOFACISA 10"/>
      <sheetName val="SALIDA TOMA MONOFASICA 12"/>
      <sheetName val="SALIDA PARA APLIQUE"/>
      <sheetName val="SALIDA LAMPARA FLUORESCENTE"/>
      <sheetName val="DERIVACION DE LUMINARIA"/>
      <sheetName val="SALIDA PARA LÁMPARA METAL"/>
      <sheetName val="Transformador 25 KVA"/>
      <sheetName val="Acometida Subt Baja Tensión"/>
      <sheetName val="Puesta a Tierra"/>
      <sheetName val="Tablero Bifasico 24 Circuitos"/>
      <sheetName val="Salida Luminaria Cerrada"/>
      <sheetName val="Salida Toma 120 V"/>
      <sheetName val="Salida Toma 220 V"/>
      <sheetName val="Tendido Alumbrado Publico"/>
      <sheetName val="Ducto Tuberia Conduit PVC 3 -4"/>
      <sheetName val="Sumin e Inst luminaria Brika"/>
      <sheetName val="Sumin e Inst luminaria Cerrada"/>
      <sheetName val="Sumin e Inst Poste ITO"/>
      <sheetName val="Sumin y mont Caja metal"/>
      <sheetName val="Sardinel prefabricado Tipo A"/>
      <sheetName val="LIMPIEZA Y DESCAPOTE"/>
      <sheetName val="LOCALIZACIÓN Y REPLANTEO"/>
      <sheetName val="DEMOLICON DE MUROS"/>
      <sheetName val="EXCAVACION MANUAL"/>
      <sheetName val="Demolicion de Graderias Exist"/>
      <sheetName val="RELLENO BASE GRANULAR"/>
      <sheetName val="RELLENO TIERRA NEGRA"/>
      <sheetName val="EMPRADIZACIÓN"/>
      <sheetName val="CONCRETO DE LIMPIEZA"/>
      <sheetName val="ZAPATAS"/>
      <sheetName val="VIGA DE CIMIENTO"/>
      <sheetName val="COLUMNAS"/>
      <sheetName val="VIGA AEREA"/>
      <sheetName val="GRADERIAS"/>
      <sheetName val="CERCHAS CELOSIA"/>
      <sheetName val="CORREAS"/>
      <sheetName val="Sum e Inst de Medidor"/>
      <sheetName val="Sum e Inst de lavamanos de empo"/>
      <sheetName val="Muros divisorios bloque No. 4"/>
      <sheetName val="Pañete sobre muros"/>
      <sheetName val="Pintura tipo koraza"/>
      <sheetName val="Ceramica 30x30, incluye win "/>
      <sheetName val="Granito Pulido"/>
      <sheetName val="Bordillos ducha ceram."/>
      <sheetName val="poceta de aseo en granito"/>
      <sheetName val="Alistado de piso mortero imp."/>
      <sheetName val="Piso en baldosa de granito"/>
      <sheetName val="media caña en granito"/>
      <sheetName val="Alfajia a la vista"/>
      <sheetName val="Tubería PVCS 2&quot; "/>
      <sheetName val="Tuberia aguas lluvias bajante"/>
      <sheetName val="Tuberia PVC aguas lluvias 3&quot;"/>
      <sheetName val="Puntos Hidráulicos 1 2&quot; "/>
      <sheetName val="tuberia pvc ag lluvia 4&quot;"/>
      <sheetName val="tuberia pvc corrugada 6&quot; "/>
      <sheetName val="tuberia pvc corrugada 8&quot; "/>
      <sheetName val="Tubería PVC 6&quot; Tipo Fort"/>
      <sheetName val="FILTRO DRENAJE 4&quot;"/>
      <sheetName val="FILTRO DRENAJE 6&quot;"/>
      <sheetName val="FILTRO DRENAJE 8&quot;"/>
      <sheetName val="Tubería PVC 4&quot; corrugada AN"/>
      <sheetName val="Tuberia PVC 6&quot; Corrugada AN"/>
      <sheetName val="Tuberia PVC 8&quot; Corrugada AN"/>
      <sheetName val="Tubería PVC 3&quot; sanitaria"/>
      <sheetName val="Tubería PVC 4&quot; sanitaria"/>
      <sheetName val="Registro RW de 1&quot;"/>
      <sheetName val="Registro RW de 1 1 2&quot;"/>
      <sheetName val="Válvula de corte tipo RW 3 ,4&quot; "/>
      <sheetName val="Sum e inst. lavamanos de colg"/>
      <sheetName val="Sum e inst. lavaplatos"/>
      <sheetName val="Tubería PVC san 2&quot; "/>
      <sheetName val="Puntos Sanitarios 2&quot; "/>
      <sheetName val="Puntos Sanitarios 4&quot;  "/>
      <sheetName val="TUBERIA PVC V D  3&quot; "/>
      <sheetName val="TUBERIA PVC VD 4&quot;"/>
      <sheetName val="TUBERIA PVC V D  3&quot; A. LL"/>
      <sheetName val="TERMINAL DE VENTILACIÓN D  3&quot; "/>
      <sheetName val="TUBERIA PVCP 1 1- 2&quot; "/>
      <sheetName val="TUBERIA PVC P D  1- 2&quot;"/>
      <sheetName val="Tuberioa PVC 3- 4&quot; "/>
      <sheetName val="TUBERIA PVC P D  1&quot;"/>
      <sheetName val="TUBERIA PVC P D  1 1-2&quot;"/>
      <sheetName val="CAJA PLASTICA PARA VALVULAS "/>
      <sheetName val="Sum. e inst. Inodoro tanque"/>
      <sheetName val="Sum. e inst. orinal de llave"/>
      <sheetName val="Sum. e inst. ducha"/>
      <sheetName val="Sum. e inst. sanitario niño"/>
      <sheetName val="Canal en lamina galv cal 20"/>
      <sheetName val="Ventana con marco lam."/>
      <sheetName val="Ventana con marco corrediza"/>
      <sheetName val="Puerta doble con marco"/>
      <sheetName val="Puerta division baño 1,12x1,60"/>
      <sheetName val="Puerta division baño 60x1,60"/>
      <sheetName val="Puerta con marco entamborada"/>
      <sheetName val="Espejo en cristal 4 mm"/>
      <sheetName val="Espejo en cristal 4 mm con marc"/>
      <sheetName val="Excavación a maquina"/>
      <sheetName val="Cerramiento exterior"/>
      <sheetName val="Hoja1 (2)"/>
      <sheetName val="Hoja1 (3)"/>
      <sheetName val="\E\a  aaInformación GRUPO 4\A M"/>
      <sheetName val="aCCIDENTES_DE_1995_-_199633"/>
      <sheetName val="aCCIDENTES_DE_1995_-_1996_xls10"/>
      <sheetName val="\Users\HP\AppData\Local\Microso"/>
      <sheetName val="aCCIDENTES_DE_1995_-_199634"/>
      <sheetName val="aCCIDENTES_DE_1995_-_1996_xls11"/>
      <sheetName val="aCCIDENTES_DE_1995_-_199635"/>
      <sheetName val="aCCIDENTES_DE_1995_-_1996_xls12"/>
      <sheetName val="aCCIDENTES_DE_1995_-_199636"/>
      <sheetName val="aCCIDENTES_DE_1995_-_1996_xls13"/>
      <sheetName val="SUB_APU2"/>
      <sheetName val="Datos_Básicos2"/>
      <sheetName val="aCCIDENTES_DE_1995_-_199637"/>
      <sheetName val="aCCIDENTES_DE_1995_-_1996_xls14"/>
      <sheetName val="SUB_APU3"/>
      <sheetName val="ACTA_DE_MODIFICACION__(2)3"/>
      <sheetName val="\a__aaInformación_GRUPO_4\A_MI3"/>
      <sheetName val="Datos_Básicos3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 refreshError="1"/>
      <sheetData sheetId="250" refreshError="1"/>
      <sheetData sheetId="251" refreshError="1"/>
      <sheetData sheetId="252" refreshError="1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  <sheetName val="a%20%20aaInformación"/>
      <sheetName val="Informacion"/>
      <sheetName val="aCCIDENTES DE 1995 - 1996"/>
      <sheetName val="a%20%20aaInformaci%C3%B3n"/>
      <sheetName val="BASES"/>
      <sheetName val="CDItem"/>
      <sheetName val="\MANTENIMIENTO RUTA 1001_MARZO "/>
      <sheetName val="Presupuesto"/>
      <sheetName val="ANEXO IX"/>
      <sheetName val="APUs"/>
      <sheetName val="INSUMOS"/>
      <sheetName val="PptoGral"/>
      <sheetName val="\I\MANTENIMIENTO RUTA 1001_MARZ"/>
      <sheetName val="\F\MANTENIMIENTO RUTA 1001_MARZ"/>
      <sheetName val="a__aaInformación"/>
      <sheetName val="a__aaInformación1"/>
      <sheetName val="a__aaInformación2"/>
      <sheetName val="otros"/>
      <sheetName val="\\SERVIDOR\Public2\MANTENIMIENT"/>
      <sheetName val="Materiales"/>
      <sheetName val="Cuadrillas"/>
      <sheetName val="Concretos y morteros"/>
      <sheetName val="Equipo"/>
      <sheetName val="Datos iniciales "/>
      <sheetName val="Transporte"/>
      <sheetName val="\Users\USUARIO\Downloads\MANTEN"/>
      <sheetName val="Formulario N° 4"/>
      <sheetName val="CONT_ADI"/>
      <sheetName val="INDICMICROEMP"/>
      <sheetName val="INDICE"/>
      <sheetName val="\I\I\MANTENIMIENTO RUTA 1001_MA"/>
      <sheetName val="\Users\Personal\Downloads\MANTE"/>
      <sheetName val="TOTALES"/>
      <sheetName val="Datos"/>
      <sheetName val="Jornal"/>
      <sheetName val="\G\I\MANTENIMIENTO RUTA 1001_MA"/>
      <sheetName val="\D\MANTENIMIENTO RUTA 1001_MARZ"/>
      <sheetName val="\G\D\MANTENIMIENTO RUTA 1001_MA"/>
      <sheetName val="#REF"/>
      <sheetName val="Fornato 6"/>
      <sheetName val="INFORME SEMANAL"/>
      <sheetName val="AVANCE SEMANAL"/>
      <sheetName val="CLIMA mes"/>
      <sheetName val="REG FOTO"/>
      <sheetName val="SISOMA"/>
      <sheetName val="[a  aaInformación]__cceficien_2"/>
      <sheetName val="[a  aaInformación]__cceficien_3"/>
      <sheetName val="[a  aaInformación][a  aaInforma"/>
      <sheetName val="lisprecios"/>
      <sheetName val="PERSONAL"/>
      <sheetName val="PRESTACIONES SOCIALES"/>
      <sheetName val="PRESUP"/>
      <sheetName val="[a  aaInformación]__cceficien_4"/>
      <sheetName val="[a  aaInformación]//cceficiente"/>
      <sheetName val="a__aaInformación3"/>
      <sheetName val="aCCIDENTES_DE_1995_-_1996"/>
      <sheetName val="a__aaInformación5"/>
      <sheetName val="aCCIDENTES_DE_1995_-_19962"/>
      <sheetName val="a__aaInformación4"/>
      <sheetName val="aCCIDENTES_DE_1995_-_19961"/>
      <sheetName val="a__aaInformación6"/>
      <sheetName val="aCCIDENTES_DE_1995_-_19963"/>
      <sheetName val="precios-básicos2002"/>
      <sheetName val="[a  aaInformación]__cceficien_5"/>
      <sheetName val="[a  aaInformación]__cceficien_9"/>
      <sheetName val="[a  aaInformación]__cceficien_6"/>
      <sheetName val="[a  aaInformación]__cceficien_7"/>
      <sheetName val="[a  aaInformación]__cceficien_8"/>
      <sheetName val="[a  aaInformación]__cceficie_10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-Accide-10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DENTES DE 1995 - 1996"/>
    </sheetNames>
    <definedNames>
      <definedName name="absc"/>
    </defined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 GRUPO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s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. P. U.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 de actividades Zona 1 "/>
      <sheetName val="Cuadro Comparativo "/>
      <sheetName val="Hoja1"/>
      <sheetName val="Analisis Mano de Obra"/>
      <sheetName val="Analisis Herramienta Menor"/>
      <sheetName val="Presupuesto"/>
      <sheetName val="Analisis Factor Prestacional"/>
      <sheetName val="Insumos"/>
      <sheetName val="A.P.U"/>
      <sheetName val="PRESUPUESTO CIC"/>
      <sheetName val="CANTIDADES"/>
      <sheetName val="cantidades2"/>
      <sheetName val="Analisis AIU"/>
      <sheetName val="Lista_de_actividades_Zona_1_"/>
      <sheetName val="Cuadro_Comparativo_"/>
      <sheetName val="Analisis_Mano_de_Obra"/>
      <sheetName val="Analisis_Herramienta_Menor"/>
      <sheetName val="Analisis_Factor_Prestacional"/>
      <sheetName val="A_P_U"/>
      <sheetName val="PRESUPUESTO_CIC"/>
      <sheetName val="Analisis_AI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B2" t="str">
            <v>MANIZALES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E_V180213"/>
      <sheetName val="Informe semanal 1"/>
      <sheetName val="Informe_semanal_1"/>
    </sheetNames>
    <sheetDataSet>
      <sheetData sheetId="0">
        <row r="57">
          <cell r="H57">
            <v>69270</v>
          </cell>
        </row>
        <row r="59">
          <cell r="D59">
            <v>69270</v>
          </cell>
        </row>
      </sheetData>
      <sheetData sheetId="1"/>
      <sheetData sheetId="2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UNITARIOS"/>
      <sheetName val="MATERIAL"/>
      <sheetName val="EQUIPO"/>
      <sheetName val="TRANSPORTE"/>
      <sheetName val="MANO OBRA"/>
      <sheetName val="MEMORIAS"/>
      <sheetName val="MANO_OBRA"/>
    </sheetNames>
    <sheetDataSet>
      <sheetData sheetId="0"/>
      <sheetData sheetId="1"/>
      <sheetData sheetId="2">
        <row r="2">
          <cell r="B2">
            <v>0</v>
          </cell>
          <cell r="C2" t="str">
            <v xml:space="preserve"> </v>
          </cell>
        </row>
        <row r="3">
          <cell r="B3" t="str">
            <v>ACCESORIOS ACERO INOXIDABLE</v>
          </cell>
          <cell r="C3" t="str">
            <v>m2</v>
          </cell>
          <cell r="D3">
            <v>150000</v>
          </cell>
        </row>
        <row r="4">
          <cell r="B4" t="str">
            <v>ABRAZADERAS 4"</v>
          </cell>
          <cell r="C4" t="str">
            <v>un</v>
          </cell>
          <cell r="D4">
            <v>2000</v>
          </cell>
        </row>
        <row r="5">
          <cell r="B5" t="str">
            <v>ACCESORIO PVC P 1/2"</v>
          </cell>
          <cell r="C5" t="str">
            <v>un</v>
          </cell>
          <cell r="D5">
            <v>550</v>
          </cell>
        </row>
        <row r="6">
          <cell r="B6" t="str">
            <v>ACCESORIO PVC S 2"</v>
          </cell>
          <cell r="C6" t="str">
            <v>un</v>
          </cell>
          <cell r="D6">
            <v>4100</v>
          </cell>
        </row>
        <row r="7">
          <cell r="B7" t="str">
            <v>ACCESORIO PVC S 3"</v>
          </cell>
          <cell r="C7" t="str">
            <v>un</v>
          </cell>
          <cell r="D7">
            <v>6850</v>
          </cell>
        </row>
        <row r="8">
          <cell r="B8" t="str">
            <v>ACCESORIO PVC S 4"</v>
          </cell>
          <cell r="C8" t="str">
            <v>un</v>
          </cell>
          <cell r="D8">
            <v>12600</v>
          </cell>
        </row>
        <row r="9">
          <cell r="B9" t="str">
            <v>ACCESORIOS</v>
          </cell>
          <cell r="C9" t="str">
            <v>un</v>
          </cell>
          <cell r="D9">
            <v>18000</v>
          </cell>
        </row>
        <row r="10">
          <cell r="B10" t="str">
            <v>ACCESORIOS CONEXIÓN Y DERIVACION CABLE COAXIAL</v>
          </cell>
          <cell r="C10" t="str">
            <v>gb</v>
          </cell>
          <cell r="D10">
            <v>190</v>
          </cell>
        </row>
        <row r="11">
          <cell r="B11" t="str">
            <v>Accesorios de conexion por atras SanitarioDO-TCDIC</v>
          </cell>
          <cell r="C11" t="str">
            <v>un</v>
          </cell>
          <cell r="D11">
            <v>5000</v>
          </cell>
        </row>
        <row r="12">
          <cell r="B12" t="str">
            <v>ACCESORIOS DE CONEXIÓN Y SUJECION PARA CABLE AMTIFRAU</v>
          </cell>
          <cell r="C12" t="str">
            <v>gb</v>
          </cell>
          <cell r="D12">
            <v>6500</v>
          </cell>
        </row>
        <row r="13">
          <cell r="B13" t="str">
            <v>ACCESORIOS DE SUJECION</v>
          </cell>
          <cell r="C13" t="str">
            <v>gb</v>
          </cell>
          <cell r="D13">
            <v>400</v>
          </cell>
        </row>
        <row r="14">
          <cell r="B14" t="str">
            <v>ACCESORIOS EMT</v>
          </cell>
          <cell r="C14" t="str">
            <v>un</v>
          </cell>
          <cell r="D14">
            <v>500</v>
          </cell>
        </row>
        <row r="15">
          <cell r="B15" t="str">
            <v xml:space="preserve">ACCESORIOS GALVANIZADOS PARA CONEXIÓN EQUIPO DE PRESION </v>
          </cell>
          <cell r="C15" t="str">
            <v>gl</v>
          </cell>
          <cell r="D15">
            <v>150000</v>
          </cell>
        </row>
        <row r="16">
          <cell r="B16" t="str">
            <v>ACCESORIOS CPVC-P 1/2" ( Codo , unión y tapón )</v>
          </cell>
          <cell r="C16" t="str">
            <v>un</v>
          </cell>
          <cell r="D16">
            <v>1200</v>
          </cell>
        </row>
        <row r="17">
          <cell r="B17" t="str">
            <v>ACCESORIOS PVC P 21/2"</v>
          </cell>
          <cell r="C17" t="str">
            <v>un</v>
          </cell>
          <cell r="D17">
            <v>15000</v>
          </cell>
        </row>
        <row r="18">
          <cell r="B18" t="str">
            <v>ACCESORIOS PVC-P 1 1/2" ( Codo , unión y tapón )</v>
          </cell>
          <cell r="C18" t="str">
            <v>un</v>
          </cell>
          <cell r="D18">
            <v>2650</v>
          </cell>
        </row>
        <row r="19">
          <cell r="B19" t="str">
            <v>ACCESORIOS PVC-P 1 1/4" ( Codo , unión y tapón )</v>
          </cell>
          <cell r="C19" t="str">
            <v>un</v>
          </cell>
          <cell r="D19">
            <v>2500</v>
          </cell>
        </row>
        <row r="20">
          <cell r="B20" t="str">
            <v>ACCESORIOS PVC-P 1/2" ( Codo , unión y tapón )</v>
          </cell>
          <cell r="C20" t="str">
            <v>un</v>
          </cell>
          <cell r="D20">
            <v>450</v>
          </cell>
        </row>
        <row r="21">
          <cell r="B21" t="str">
            <v>ACCESORIOS PVC-P 2" ( Codo , unión y tapón )</v>
          </cell>
          <cell r="C21" t="str">
            <v>un</v>
          </cell>
          <cell r="D21">
            <v>5000</v>
          </cell>
        </row>
        <row r="22">
          <cell r="B22" t="str">
            <v>ACCESORIOS PVC-P 3/4" ( Codo, unión y tapón )</v>
          </cell>
          <cell r="C22" t="str">
            <v>un</v>
          </cell>
          <cell r="D22">
            <v>1200</v>
          </cell>
        </row>
        <row r="23">
          <cell r="B23" t="str">
            <v>ACCESORIOS SUJECION TRANFORMADOR</v>
          </cell>
          <cell r="C23" t="str">
            <v>un</v>
          </cell>
          <cell r="D23">
            <v>50000</v>
          </cell>
        </row>
        <row r="24">
          <cell r="B24" t="str">
            <v>ACERO 37.000 PSI</v>
          </cell>
          <cell r="C24" t="str">
            <v>kg</v>
          </cell>
          <cell r="D24">
            <v>1900</v>
          </cell>
        </row>
        <row r="25">
          <cell r="B25" t="str">
            <v xml:space="preserve">ACERO 60.000 PSI </v>
          </cell>
          <cell r="C25" t="str">
            <v>kg</v>
          </cell>
          <cell r="D25">
            <v>1900</v>
          </cell>
        </row>
        <row r="26">
          <cell r="B26" t="str">
            <v>ACERO ESTRUCTURAL ACESCO PHR Cal. 12</v>
          </cell>
          <cell r="C26" t="str">
            <v>kg</v>
          </cell>
          <cell r="D26">
            <v>4500</v>
          </cell>
        </row>
        <row r="27">
          <cell r="B27" t="str">
            <v>ACIDO FLORIDRICO</v>
          </cell>
          <cell r="C27" t="str">
            <v>lt</v>
          </cell>
          <cell r="D27">
            <v>15500</v>
          </cell>
        </row>
        <row r="28">
          <cell r="B28" t="str">
            <v>ACIDO NITRICO</v>
          </cell>
          <cell r="C28" t="str">
            <v>lt</v>
          </cell>
          <cell r="D28">
            <v>4500</v>
          </cell>
        </row>
        <row r="29">
          <cell r="B29" t="str">
            <v>ACONDICIONADOR NOVAFORT 250ML  Pavco</v>
          </cell>
          <cell r="C29" t="str">
            <v>un</v>
          </cell>
          <cell r="D29">
            <v>15000</v>
          </cell>
        </row>
        <row r="30">
          <cell r="B30" t="str">
            <v>ACPM</v>
          </cell>
          <cell r="C30" t="str">
            <v>gl</v>
          </cell>
          <cell r="D30">
            <v>8500</v>
          </cell>
        </row>
        <row r="31">
          <cell r="B31" t="str">
            <v>ADAPTADOR CONDUIT PVC 1/2"</v>
          </cell>
          <cell r="C31" t="str">
            <v>un</v>
          </cell>
          <cell r="D31">
            <v>500</v>
          </cell>
        </row>
        <row r="32">
          <cell r="B32" t="str">
            <v>ADAPTADOR MACHO   3/4"</v>
          </cell>
          <cell r="C32" t="str">
            <v>un</v>
          </cell>
          <cell r="D32">
            <v>600</v>
          </cell>
        </row>
        <row r="33">
          <cell r="B33" t="str">
            <v>ADAPTADOR TERMINAL CONDUIT 3/4"</v>
          </cell>
          <cell r="C33" t="str">
            <v>un</v>
          </cell>
          <cell r="D33">
            <v>300</v>
          </cell>
        </row>
        <row r="34">
          <cell r="B34" t="str">
            <v>ADAPTADORES MACHO 1/2"</v>
          </cell>
          <cell r="C34" t="str">
            <v>un</v>
          </cell>
          <cell r="D34">
            <v>300</v>
          </cell>
        </row>
        <row r="35">
          <cell r="B35" t="str">
            <v>ADHESIVO EPOXICO G5 DE 651 ml</v>
          </cell>
          <cell r="C35" t="str">
            <v>un</v>
          </cell>
          <cell r="D35">
            <v>55000</v>
          </cell>
        </row>
        <row r="36">
          <cell r="B36" t="str">
            <v>ADHESIVO NOVAFORT 310 ML  Pavco</v>
          </cell>
          <cell r="C36" t="str">
            <v>un</v>
          </cell>
          <cell r="D36">
            <v>15000</v>
          </cell>
        </row>
        <row r="37">
          <cell r="B37" t="str">
            <v>AGUA</v>
          </cell>
          <cell r="C37" t="str">
            <v>lt</v>
          </cell>
          <cell r="D37">
            <v>500</v>
          </cell>
        </row>
        <row r="38">
          <cell r="B38" t="str">
            <v>AISLADORES</v>
          </cell>
          <cell r="C38" t="str">
            <v>un</v>
          </cell>
          <cell r="D38">
            <v>4500</v>
          </cell>
        </row>
        <row r="39">
          <cell r="B39" t="str">
            <v>AISLADORES DE PIN CON ESPIGO</v>
          </cell>
          <cell r="C39" t="str">
            <v>un</v>
          </cell>
          <cell r="D39">
            <v>42000</v>
          </cell>
        </row>
        <row r="40">
          <cell r="B40" t="str">
            <v>AISLADORES DE RETENCION</v>
          </cell>
          <cell r="C40" t="str">
            <v>un</v>
          </cell>
          <cell r="D40">
            <v>72500</v>
          </cell>
        </row>
        <row r="41">
          <cell r="B41" t="str">
            <v>AISLADORES EMISORES</v>
          </cell>
          <cell r="C41" t="str">
            <v>un</v>
          </cell>
          <cell r="D41">
            <v>85000</v>
          </cell>
        </row>
        <row r="42">
          <cell r="B42" t="str">
            <v>ALAMBRE COBRE DESNUDO AWG  12</v>
          </cell>
          <cell r="C42" t="str">
            <v>ml</v>
          </cell>
          <cell r="D42">
            <v>1700</v>
          </cell>
        </row>
        <row r="43">
          <cell r="B43" t="str">
            <v>ALAMBRE COBRE THHN 12 AWG</v>
          </cell>
          <cell r="C43" t="str">
            <v>ml</v>
          </cell>
          <cell r="D43">
            <v>1900</v>
          </cell>
        </row>
        <row r="44">
          <cell r="B44" t="str">
            <v>ALAMBRE NEGRO       No.18</v>
          </cell>
          <cell r="C44" t="str">
            <v>kg</v>
          </cell>
          <cell r="D44">
            <v>3000</v>
          </cell>
        </row>
        <row r="45">
          <cell r="B45" t="str">
            <v>ALFACOLOR 3-15</v>
          </cell>
          <cell r="C45" t="str">
            <v>kg</v>
          </cell>
          <cell r="D45">
            <v>2000</v>
          </cell>
        </row>
        <row r="46">
          <cell r="B46" t="str">
            <v>ALFAJIAS CONCRETO     .25</v>
          </cell>
          <cell r="C46" t="str">
            <v>ml</v>
          </cell>
          <cell r="D46">
            <v>25000</v>
          </cell>
        </row>
        <row r="47">
          <cell r="B47" t="str">
            <v>ALUMINIO PARA CIELO RASO INC ESTRUCTURA</v>
          </cell>
          <cell r="C47" t="str">
            <v>m2</v>
          </cell>
          <cell r="D47">
            <v>10500</v>
          </cell>
        </row>
        <row r="48">
          <cell r="B48" t="str">
            <v>ALUMINIO PARA DIVISION BAÑO</v>
          </cell>
          <cell r="C48" t="str">
            <v>m2</v>
          </cell>
          <cell r="D48">
            <v>40000</v>
          </cell>
        </row>
        <row r="49">
          <cell r="B49" t="str">
            <v>AMPLIFICADOR TV CON 20 SALIDAS</v>
          </cell>
          <cell r="C49" t="str">
            <v>un</v>
          </cell>
          <cell r="D49">
            <v>450000</v>
          </cell>
        </row>
        <row r="50">
          <cell r="B50" t="str">
            <v>ANCLAJE CAMISA DE 3/8"</v>
          </cell>
          <cell r="C50" t="str">
            <v>un</v>
          </cell>
          <cell r="D50">
            <v>1200</v>
          </cell>
        </row>
        <row r="51">
          <cell r="B51" t="str">
            <v>ÁNGULO     1 x 1 x 1/8" de 6 mts</v>
          </cell>
          <cell r="C51" t="str">
            <v>un</v>
          </cell>
          <cell r="D51">
            <v>17500</v>
          </cell>
        </row>
        <row r="52">
          <cell r="B52" t="str">
            <v>ÁNGULO     1 x 1 x 3/16" de 6 mts</v>
          </cell>
          <cell r="C52" t="str">
            <v>un</v>
          </cell>
          <cell r="D52">
            <v>20450</v>
          </cell>
        </row>
        <row r="53">
          <cell r="B53" t="str">
            <v>ANGULO 1 1/2X3/16</v>
          </cell>
          <cell r="C53" t="str">
            <v>un</v>
          </cell>
          <cell r="D53">
            <v>42000</v>
          </cell>
        </row>
        <row r="54">
          <cell r="B54" t="str">
            <v>ANGULO 1"X1/8"</v>
          </cell>
          <cell r="C54" t="str">
            <v>ml</v>
          </cell>
          <cell r="D54">
            <v>3500</v>
          </cell>
        </row>
        <row r="55">
          <cell r="B55" t="str">
            <v xml:space="preserve">ANGULO 2" * 2" * 1/8" </v>
          </cell>
          <cell r="C55" t="str">
            <v>kg</v>
          </cell>
          <cell r="D55">
            <v>2800</v>
          </cell>
        </row>
        <row r="56">
          <cell r="B56" t="str">
            <v xml:space="preserve">ANGULO 2" * 2" * 3/16" </v>
          </cell>
          <cell r="C56" t="str">
            <v>un</v>
          </cell>
          <cell r="D56">
            <v>50000</v>
          </cell>
        </row>
        <row r="57">
          <cell r="B57" t="str">
            <v>ANGULO 3/4"</v>
          </cell>
          <cell r="C57" t="str">
            <v>ml</v>
          </cell>
          <cell r="D57">
            <v>2000</v>
          </cell>
        </row>
        <row r="58">
          <cell r="B58" t="str">
            <v>ANGULO DE 1"x1/8"</v>
          </cell>
          <cell r="C58" t="str">
            <v>ml</v>
          </cell>
          <cell r="D58">
            <v>4250</v>
          </cell>
        </row>
        <row r="59">
          <cell r="B59" t="str">
            <v>ANGULOS DE ENSAMBLE</v>
          </cell>
          <cell r="C59" t="str">
            <v>gb</v>
          </cell>
          <cell r="D59">
            <v>20000</v>
          </cell>
        </row>
        <row r="60">
          <cell r="B60" t="str">
            <v>ANGULOS EN ALUMINIO BLANCO DE 3m</v>
          </cell>
          <cell r="C60" t="str">
            <v>un</v>
          </cell>
          <cell r="D60">
            <v>7000</v>
          </cell>
        </row>
        <row r="61">
          <cell r="B61" t="str">
            <v xml:space="preserve">ANTENA EXTERNA COMUNAL TV </v>
          </cell>
          <cell r="C61" t="str">
            <v>un</v>
          </cell>
          <cell r="D61">
            <v>75000</v>
          </cell>
        </row>
        <row r="62">
          <cell r="B62" t="str">
            <v>ANTICORROSIVO</v>
          </cell>
          <cell r="C62" t="str">
            <v>gl</v>
          </cell>
          <cell r="D62">
            <v>28500</v>
          </cell>
        </row>
        <row r="63">
          <cell r="B63" t="str">
            <v xml:space="preserve">ANTICORROSIVO </v>
          </cell>
          <cell r="C63" t="str">
            <v>gl</v>
          </cell>
          <cell r="D63">
            <v>28500</v>
          </cell>
        </row>
        <row r="64">
          <cell r="B64" t="str">
            <v>ARENA DE RIO</v>
          </cell>
          <cell r="C64" t="str">
            <v>m3</v>
          </cell>
          <cell r="D64">
            <v>110000</v>
          </cell>
        </row>
        <row r="65">
          <cell r="B65" t="str">
            <v>ARENA LAVADA DE PEÑA</v>
          </cell>
          <cell r="C65" t="str">
            <v>m3</v>
          </cell>
          <cell r="D65">
            <v>35000</v>
          </cell>
        </row>
        <row r="66">
          <cell r="B66" t="str">
            <v>ARBOL</v>
          </cell>
          <cell r="C66" t="str">
            <v>un</v>
          </cell>
          <cell r="D66">
            <v>352000</v>
          </cell>
        </row>
        <row r="67">
          <cell r="B67" t="str">
            <v>ASFALTO TIPO 190/220 200 kg</v>
          </cell>
          <cell r="C67" t="str">
            <v>kg</v>
          </cell>
          <cell r="D67">
            <v>2500</v>
          </cell>
        </row>
        <row r="68">
          <cell r="B68" t="str">
            <v>BALA DULUX 2X20W, REFLECTOR EN ALUMINIO BRILLADO. DIAMETRO 20,5 CMS, ACABADO BLANCO. INCLUYE 2 BOMBILLOS DULUX 20W ROSCA, LUZ 6500K</v>
          </cell>
          <cell r="C68" t="str">
            <v>un</v>
          </cell>
          <cell r="D68">
            <v>37000</v>
          </cell>
        </row>
        <row r="69">
          <cell r="B69" t="str">
            <v>BALA FLUORESCENTE 2X26 CON BOMBILLOS AHORRADORES</v>
          </cell>
          <cell r="C69" t="str">
            <v>un</v>
          </cell>
          <cell r="D69">
            <v>95000</v>
          </cell>
        </row>
        <row r="70">
          <cell r="B70" t="str">
            <v>BALDOSA EN GRANITO ALFA</v>
          </cell>
          <cell r="C70" t="str">
            <v>m2</v>
          </cell>
          <cell r="D70">
            <v>40000</v>
          </cell>
        </row>
        <row r="71">
          <cell r="B71" t="str">
            <v>BALDOSA PORCELANATICO</v>
          </cell>
          <cell r="C71" t="str">
            <v>m2</v>
          </cell>
          <cell r="D71">
            <v>50000</v>
          </cell>
        </row>
        <row r="72">
          <cell r="B72" t="str">
            <v>BARNIZ</v>
          </cell>
          <cell r="C72" t="str">
            <v>gl</v>
          </cell>
          <cell r="D72">
            <v>60000</v>
          </cell>
        </row>
        <row r="73">
          <cell r="B73" t="str">
            <v>BANDEJA PORTACABLES 60X8</v>
          </cell>
          <cell r="C73" t="str">
            <v>ML</v>
          </cell>
          <cell r="D73">
            <v>95000</v>
          </cell>
        </row>
        <row r="74">
          <cell r="B74" t="str">
            <v>BASE PARA FOTOCELDA CON SOPORTE</v>
          </cell>
          <cell r="C74" t="str">
            <v>un</v>
          </cell>
          <cell r="D74">
            <v>5000</v>
          </cell>
        </row>
        <row r="75">
          <cell r="B75" t="str">
            <v>BISAGRAS</v>
          </cell>
          <cell r="C75" t="str">
            <v>un</v>
          </cell>
          <cell r="D75">
            <v>3500</v>
          </cell>
        </row>
        <row r="76">
          <cell r="B76" t="str">
            <v>BISAGRAS PARA VENTANAS METALICAS</v>
          </cell>
          <cell r="C76" t="str">
            <v>par</v>
          </cell>
          <cell r="D76">
            <v>2000</v>
          </cell>
        </row>
        <row r="77">
          <cell r="B77" t="str">
            <v>BISAGRAS PUERTAS COCINA</v>
          </cell>
          <cell r="C77" t="str">
            <v>un</v>
          </cell>
          <cell r="D77">
            <v>1250</v>
          </cell>
        </row>
        <row r="78">
          <cell r="B78" t="str">
            <v>BISEL PARA VIDRIO ESPEJO</v>
          </cell>
          <cell r="C78" t="str">
            <v>ml</v>
          </cell>
          <cell r="D78">
            <v>5000</v>
          </cell>
        </row>
        <row r="79">
          <cell r="B79" t="str">
            <v>BLOQUE No. 3</v>
          </cell>
          <cell r="C79" t="str">
            <v>un</v>
          </cell>
          <cell r="D79">
            <v>850</v>
          </cell>
        </row>
        <row r="80">
          <cell r="B80" t="str">
            <v xml:space="preserve">BLOQUE No. 4 </v>
          </cell>
          <cell r="C80" t="str">
            <v>un</v>
          </cell>
          <cell r="D80">
            <v>800</v>
          </cell>
        </row>
        <row r="81">
          <cell r="B81" t="str">
            <v xml:space="preserve">BLOQUE No. 5 </v>
          </cell>
          <cell r="C81" t="str">
            <v>un</v>
          </cell>
          <cell r="D81">
            <v>850</v>
          </cell>
        </row>
        <row r="82">
          <cell r="B82" t="str">
            <v xml:space="preserve">Boca puerta en mármol,  incluye nariz redonda </v>
          </cell>
          <cell r="C82" t="str">
            <v>ml</v>
          </cell>
          <cell r="D82">
            <v>40000</v>
          </cell>
        </row>
        <row r="83">
          <cell r="B83" t="str">
            <v>BOQUILLA TERMINAL PVC 1"</v>
          </cell>
          <cell r="C83" t="str">
            <v>un</v>
          </cell>
          <cell r="D83">
            <v>2000</v>
          </cell>
        </row>
        <row r="84">
          <cell r="B84" t="str">
            <v>BOSEL</v>
          </cell>
          <cell r="C84" t="str">
            <v>ml</v>
          </cell>
          <cell r="D84">
            <v>500</v>
          </cell>
        </row>
        <row r="85">
          <cell r="B85" t="str">
            <v>BOMBAS PARA SISTEMA DE PLANTA TRATAMIENTO</v>
          </cell>
          <cell r="C85" t="str">
            <v>un</v>
          </cell>
          <cell r="D85">
            <v>9500000</v>
          </cell>
        </row>
        <row r="86">
          <cell r="B86" t="str">
            <v>BRAZO HIDRAULICO</v>
          </cell>
          <cell r="C86" t="str">
            <v>un</v>
          </cell>
          <cell r="D86">
            <v>220000</v>
          </cell>
        </row>
        <row r="87">
          <cell r="B87" t="str">
            <v>BROCA DE 5/8"</v>
          </cell>
          <cell r="C87" t="str">
            <v>un</v>
          </cell>
          <cell r="D87">
            <v>70000</v>
          </cell>
        </row>
        <row r="88">
          <cell r="B88" t="str">
            <v>BROCAS 1/2"</v>
          </cell>
          <cell r="C88" t="str">
            <v>un</v>
          </cell>
          <cell r="D88">
            <v>60000</v>
          </cell>
        </row>
        <row r="89">
          <cell r="B89" t="str">
            <v>BROCAS 1/4"</v>
          </cell>
          <cell r="C89" t="str">
            <v>un</v>
          </cell>
          <cell r="D89">
            <v>4500</v>
          </cell>
        </row>
        <row r="90">
          <cell r="B90" t="str">
            <v>BROCAS, GRAPAS, CHAZOS Y TORNILLOS</v>
          </cell>
          <cell r="C90" t="str">
            <v>global</v>
          </cell>
          <cell r="D90">
            <v>10000</v>
          </cell>
        </row>
        <row r="91">
          <cell r="B91" t="str">
            <v>BUSHING 4"X2" A.C.</v>
          </cell>
          <cell r="C91" t="str">
            <v>un</v>
          </cell>
          <cell r="D91">
            <v>32480</v>
          </cell>
        </row>
        <row r="92">
          <cell r="B92" t="str">
            <v>CABALLETE ETERNIT</v>
          </cell>
          <cell r="C92" t="str">
            <v>un</v>
          </cell>
          <cell r="D92">
            <v>14500</v>
          </cell>
        </row>
        <row r="93">
          <cell r="B93" t="str">
            <v>CABALLETE THERMOACUSTICA DE 2.00X0.70</v>
          </cell>
          <cell r="C93" t="str">
            <v>un</v>
          </cell>
          <cell r="D93">
            <v>55000</v>
          </cell>
        </row>
        <row r="94">
          <cell r="B94" t="str">
            <v>CABLE #4 COBRE DESNUDO</v>
          </cell>
          <cell r="C94" t="str">
            <v>ml</v>
          </cell>
          <cell r="D94">
            <v>8500</v>
          </cell>
        </row>
        <row r="95">
          <cell r="B95" t="str">
            <v>Cable 10 THWN/THHN Cu-AWG 600V</v>
          </cell>
          <cell r="C95" t="str">
            <v>ml</v>
          </cell>
          <cell r="D95">
            <v>6500</v>
          </cell>
        </row>
        <row r="96">
          <cell r="B96" t="str">
            <v>cable 2/0</v>
          </cell>
          <cell r="C96" t="str">
            <v>ml</v>
          </cell>
          <cell r="D96">
            <v>23500</v>
          </cell>
        </row>
        <row r="97">
          <cell r="B97" t="str">
            <v>Cable 8 THWN/THHN Cu-AWG 600V</v>
          </cell>
          <cell r="C97" t="str">
            <v>ml</v>
          </cell>
          <cell r="D97">
            <v>3800</v>
          </cell>
        </row>
        <row r="98">
          <cell r="B98" t="str">
            <v>CABLE ANTIFRAUDE #8</v>
          </cell>
          <cell r="C98" t="str">
            <v>ml</v>
          </cell>
          <cell r="D98">
            <v>4500</v>
          </cell>
        </row>
        <row r="99">
          <cell r="B99" t="str">
            <v xml:space="preserve">CABLE BLINDADO COAXIAL RG59 U TV </v>
          </cell>
          <cell r="C99" t="str">
            <v>ml</v>
          </cell>
          <cell r="D99">
            <v>1500</v>
          </cell>
        </row>
        <row r="100">
          <cell r="B100" t="str">
            <v>CABLE DUPLEX DE 2X16</v>
          </cell>
          <cell r="C100" t="str">
            <v>ml</v>
          </cell>
          <cell r="D100">
            <v>2500</v>
          </cell>
        </row>
        <row r="101">
          <cell r="B101" t="str">
            <v>Cable 12 THWN/THHN Cu-AWG 600V</v>
          </cell>
          <cell r="C101" t="str">
            <v>ml</v>
          </cell>
          <cell r="D101">
            <v>2500</v>
          </cell>
        </row>
        <row r="102">
          <cell r="B102" t="str">
            <v>Cable 14 THWN/THHN Cu-AWG 600V</v>
          </cell>
          <cell r="C102" t="str">
            <v>ml</v>
          </cell>
          <cell r="D102">
            <v>1500</v>
          </cell>
        </row>
        <row r="103">
          <cell r="B103" t="str">
            <v>Cable 8 THWN/THHN Cu-AWG 600V</v>
          </cell>
          <cell r="C103" t="str">
            <v>ml</v>
          </cell>
          <cell r="D103">
            <v>3800</v>
          </cell>
        </row>
        <row r="104">
          <cell r="B104" t="str">
            <v>CABLE ENCAUCHETADO 3#4+1#6 T</v>
          </cell>
          <cell r="C104" t="str">
            <v>ml</v>
          </cell>
          <cell r="D104">
            <v>55500</v>
          </cell>
        </row>
        <row r="105">
          <cell r="B105" t="str">
            <v>CABLE DE COBRE DESNUDO No.12 AWG</v>
          </cell>
          <cell r="C105" t="str">
            <v>ml</v>
          </cell>
          <cell r="D105">
            <v>2600</v>
          </cell>
        </row>
        <row r="106">
          <cell r="B106" t="str">
            <v>CABLE No. 12 T</v>
          </cell>
          <cell r="C106" t="str">
            <v>ml</v>
          </cell>
          <cell r="D106">
            <v>3000</v>
          </cell>
        </row>
        <row r="107">
          <cell r="B107" t="str">
            <v>CABLE PARA SEÑALES SISTEMA CONTRA INCENDIO  2 PARES (2X22AWG) NPLF AISLAMIENTO EN PVC DE ACUERDO A LAS NORMAS IEC189, IEC708</v>
          </cell>
          <cell r="C107" t="str">
            <v>m</v>
          </cell>
          <cell r="D107">
            <v>3950</v>
          </cell>
        </row>
        <row r="108">
          <cell r="B108" t="str">
            <v>CABLE TELEFONICO 2 PARES</v>
          </cell>
          <cell r="C108" t="str">
            <v>ml</v>
          </cell>
          <cell r="D108">
            <v>1200</v>
          </cell>
        </row>
        <row r="109">
          <cell r="B109" t="str">
            <v>CAJA 2400</v>
          </cell>
          <cell r="C109" t="str">
            <v>un</v>
          </cell>
          <cell r="D109">
            <v>2000</v>
          </cell>
        </row>
        <row r="110">
          <cell r="B110" t="str">
            <v>CAJA 5800</v>
          </cell>
          <cell r="C110" t="str">
            <v>un</v>
          </cell>
          <cell r="D110">
            <v>1500</v>
          </cell>
        </row>
        <row r="111">
          <cell r="B111" t="str">
            <v>CAJA MEDIDOR ACUEDUCTO CON TAPA Y CERRADURA</v>
          </cell>
          <cell r="C111" t="str">
            <v>un</v>
          </cell>
          <cell r="D111">
            <v>70000</v>
          </cell>
        </row>
        <row r="112">
          <cell r="B112" t="str">
            <v>CAJA MEDIDOR DE AGUA 60*28*14</v>
          </cell>
          <cell r="C112" t="str">
            <v>un</v>
          </cell>
          <cell r="D112">
            <v>50000</v>
          </cell>
        </row>
        <row r="113">
          <cell r="B113" t="str">
            <v>CAJA MONOFASICA DE 4 CIRCUITOS CON TACOS</v>
          </cell>
          <cell r="C113" t="str">
            <v>un</v>
          </cell>
          <cell r="D113">
            <v>100000</v>
          </cell>
        </row>
        <row r="114">
          <cell r="B114" t="str">
            <v>CAJA OCTOGONAL GALVANIZADA (CAJA EMP GALV.OCTAGONAL 4")</v>
          </cell>
          <cell r="C114" t="str">
            <v>un</v>
          </cell>
          <cell r="D114">
            <v>2500</v>
          </cell>
        </row>
        <row r="115">
          <cell r="B115" t="str">
            <v>CAJA METALICA AMPLIFICADOR TV</v>
          </cell>
          <cell r="C115" t="str">
            <v>un</v>
          </cell>
          <cell r="D115">
            <v>220000</v>
          </cell>
        </row>
        <row r="116">
          <cell r="B116" t="str">
            <v>CAJA SENCILLA CONDUIT (CAJA EMP GALV.RECTANG. 2X4")</v>
          </cell>
          <cell r="C116" t="str">
            <v>un</v>
          </cell>
          <cell r="D116">
            <v>2000</v>
          </cell>
        </row>
        <row r="117">
          <cell r="B117" t="str">
            <v xml:space="preserve">CAJAS DE 20X25X10 CM PARA CONEXIÓN </v>
          </cell>
          <cell r="C117" t="str">
            <v>un</v>
          </cell>
          <cell r="D117">
            <v>49500</v>
          </cell>
        </row>
        <row r="118">
          <cell r="B118" t="str">
            <v>CALENTADOR ELECTRICO 20 GL 120 V HACEB</v>
          </cell>
          <cell r="C118" t="str">
            <v>un</v>
          </cell>
          <cell r="D118">
            <v>579900</v>
          </cell>
        </row>
        <row r="119">
          <cell r="B119" t="str">
            <v>CARBURO BLANCO</v>
          </cell>
          <cell r="C119" t="str">
            <v>gl</v>
          </cell>
          <cell r="D119">
            <v>55000</v>
          </cell>
        </row>
        <row r="120">
          <cell r="B120" t="str">
            <v>CAOLÍN</v>
          </cell>
          <cell r="C120" t="str">
            <v>bt</v>
          </cell>
          <cell r="D120">
            <v>12000</v>
          </cell>
        </row>
        <row r="121">
          <cell r="B121" t="str">
            <v>CAPACETE 1"</v>
          </cell>
          <cell r="C121" t="str">
            <v>un</v>
          </cell>
          <cell r="D121">
            <v>53333.333333333336</v>
          </cell>
        </row>
        <row r="122">
          <cell r="B122" t="str">
            <v>CASETÓN DE GUADUA h=0.42</v>
          </cell>
          <cell r="C122" t="str">
            <v>ml</v>
          </cell>
          <cell r="D122">
            <v>15000</v>
          </cell>
        </row>
        <row r="124">
          <cell r="B124" t="str">
            <v>CEDRO CAQUETA</v>
          </cell>
          <cell r="C124" t="str">
            <v>pieza</v>
          </cell>
          <cell r="D124">
            <v>35000</v>
          </cell>
        </row>
        <row r="125">
          <cell r="B125" t="str">
            <v xml:space="preserve">CELDA METÁLICA -LÁMINA COLD-ROLLED PARA  TRANSFORMADOR </v>
          </cell>
          <cell r="C125" t="str">
            <v>un</v>
          </cell>
          <cell r="D125">
            <v>2300000</v>
          </cell>
        </row>
        <row r="126">
          <cell r="B126" t="str">
            <v>CEMENTO MARINO</v>
          </cell>
          <cell r="C126" t="str">
            <v>gl</v>
          </cell>
          <cell r="D126">
            <v>38000</v>
          </cell>
        </row>
        <row r="127">
          <cell r="B127" t="str">
            <v>CEMENTO BLANCO</v>
          </cell>
          <cell r="C127" t="str">
            <v>kg</v>
          </cell>
          <cell r="D127">
            <v>1200</v>
          </cell>
        </row>
        <row r="128">
          <cell r="B128" t="str">
            <v>CEMENTO GRIS</v>
          </cell>
          <cell r="C128" t="str">
            <v>bt</v>
          </cell>
          <cell r="D128">
            <v>25000</v>
          </cell>
        </row>
        <row r="129">
          <cell r="B129" t="str">
            <v xml:space="preserve">CERAMICA </v>
          </cell>
          <cell r="C129" t="str">
            <v>m2</v>
          </cell>
          <cell r="D129">
            <v>25000</v>
          </cell>
        </row>
        <row r="130">
          <cell r="B130" t="str">
            <v>CERRADURA INAFER</v>
          </cell>
          <cell r="C130" t="str">
            <v>un</v>
          </cell>
          <cell r="D130">
            <v>22000</v>
          </cell>
        </row>
        <row r="131">
          <cell r="B131" t="str">
            <v>CERRADURA POMA MADERA ALCOBA</v>
          </cell>
          <cell r="C131" t="str">
            <v>un</v>
          </cell>
          <cell r="D131">
            <v>28500</v>
          </cell>
        </row>
        <row r="132">
          <cell r="B132" t="str">
            <v>CERRADURA POMA PUERTAS</v>
          </cell>
          <cell r="C132" t="str">
            <v>un</v>
          </cell>
          <cell r="D132">
            <v>15000</v>
          </cell>
        </row>
        <row r="133">
          <cell r="B133" t="str">
            <v>CENEFA EN MADERA DE 0.12 TINTADA</v>
          </cell>
          <cell r="C133" t="str">
            <v>ml</v>
          </cell>
          <cell r="D133">
            <v>45000</v>
          </cell>
        </row>
        <row r="134">
          <cell r="B134" t="str">
            <v>CERROJO EN ACERO INOXIDABLE</v>
          </cell>
          <cell r="C134" t="str">
            <v>un</v>
          </cell>
          <cell r="D134">
            <v>60000</v>
          </cell>
        </row>
        <row r="135">
          <cell r="B135" t="str">
            <v>CERRADURA SCHLAGE BAÑO  A40S Cromado Mate</v>
          </cell>
          <cell r="C135" t="str">
            <v>un</v>
          </cell>
          <cell r="D135">
            <v>36000</v>
          </cell>
        </row>
        <row r="136">
          <cell r="B136" t="str">
            <v>CHEQUE HORIZONTAL 1/2"</v>
          </cell>
          <cell r="C136" t="str">
            <v>un</v>
          </cell>
          <cell r="D136">
            <v>10000</v>
          </cell>
        </row>
        <row r="137">
          <cell r="B137" t="str">
            <v>CHEQUE R&amp;W Roscado 3/4" Ref. 236</v>
          </cell>
          <cell r="C137" t="str">
            <v>un</v>
          </cell>
          <cell r="D137">
            <v>37000</v>
          </cell>
        </row>
        <row r="138">
          <cell r="B138" t="str">
            <v>CIELO RASO Star Orion ( perfileria aluminio 1" )</v>
          </cell>
          <cell r="C138" t="str">
            <v>m2</v>
          </cell>
          <cell r="D138">
            <v>25000</v>
          </cell>
        </row>
        <row r="139">
          <cell r="B139" t="str">
            <v>CILINDRO DE GAS PROPANO</v>
          </cell>
          <cell r="C139" t="str">
            <v>un</v>
          </cell>
          <cell r="D139">
            <v>25000</v>
          </cell>
        </row>
        <row r="140">
          <cell r="B140" t="str">
            <v>CINTA BANDIT 1/2" CON GRAPAS</v>
          </cell>
          <cell r="C140" t="str">
            <v>un</v>
          </cell>
          <cell r="D140">
            <v>105000</v>
          </cell>
        </row>
        <row r="141">
          <cell r="B141" t="str">
            <v>CINTA PAPEL</v>
          </cell>
          <cell r="C141" t="str">
            <v>rl</v>
          </cell>
          <cell r="D141">
            <v>8000</v>
          </cell>
        </row>
        <row r="142">
          <cell r="B142" t="str">
            <v>CINTA TEFLÓN 10 m 1/2"</v>
          </cell>
          <cell r="C142" t="str">
            <v>un</v>
          </cell>
          <cell r="D142">
            <v>2000</v>
          </cell>
        </row>
        <row r="143">
          <cell r="B143" t="str">
            <v>CLOSET</v>
          </cell>
          <cell r="C143" t="str">
            <v>m2</v>
          </cell>
          <cell r="D143">
            <v>170000</v>
          </cell>
        </row>
        <row r="144">
          <cell r="B144" t="str">
            <v>COCINA INTEGRAL</v>
          </cell>
          <cell r="C144" t="str">
            <v>ml</v>
          </cell>
          <cell r="D144">
            <v>1180000</v>
          </cell>
        </row>
        <row r="145">
          <cell r="B145" t="str">
            <v>CODO 90° 1/4 CxC SANITARIO 3" Pavco</v>
          </cell>
          <cell r="C145" t="str">
            <v>un</v>
          </cell>
          <cell r="D145">
            <v>15000</v>
          </cell>
        </row>
        <row r="146">
          <cell r="B146" t="str">
            <v>CODO 90° 1/4 CxC SANITARIO 4" Pavco</v>
          </cell>
          <cell r="C146" t="str">
            <v>un</v>
          </cell>
          <cell r="D146">
            <v>16500</v>
          </cell>
        </row>
        <row r="147">
          <cell r="B147" t="str">
            <v>CODO 90° 1/4 CxE SANITARIO 2"</v>
          </cell>
          <cell r="C147" t="str">
            <v>un</v>
          </cell>
          <cell r="D147">
            <v>190000</v>
          </cell>
        </row>
        <row r="148">
          <cell r="B148" t="str">
            <v>CODO 90° 4" EXTREMO BRIDADO</v>
          </cell>
          <cell r="C148" t="str">
            <v>un</v>
          </cell>
          <cell r="D148">
            <v>190000</v>
          </cell>
        </row>
        <row r="149">
          <cell r="B149" t="str">
            <v>CODO 90° PRESIÓN PVC   3/4" Pavco</v>
          </cell>
          <cell r="C149" t="str">
            <v>un</v>
          </cell>
          <cell r="D149">
            <v>1850</v>
          </cell>
        </row>
        <row r="150">
          <cell r="B150" t="str">
            <v>CODO 90° PRESIÓN PVC 1 1/2" Pavco</v>
          </cell>
          <cell r="C150" t="str">
            <v>un</v>
          </cell>
          <cell r="D150">
            <v>3500</v>
          </cell>
        </row>
        <row r="151">
          <cell r="B151" t="str">
            <v>CODO PRESIÓN           1"</v>
          </cell>
          <cell r="C151" t="str">
            <v>un</v>
          </cell>
          <cell r="D151">
            <v>2500</v>
          </cell>
        </row>
        <row r="152">
          <cell r="B152" t="str">
            <v>COMBO SANITARIO BLANCO AHORRADOR</v>
          </cell>
          <cell r="C152" t="str">
            <v>un</v>
          </cell>
          <cell r="D152">
            <v>310000</v>
          </cell>
        </row>
        <row r="153">
          <cell r="B153" t="str">
            <v>CONCERTINA EN ACERO INOXIDABLE DE 18"</v>
          </cell>
          <cell r="C153" t="str">
            <v>ml</v>
          </cell>
          <cell r="D153">
            <v>16500</v>
          </cell>
        </row>
        <row r="154">
          <cell r="B154" t="str">
            <v>CONCRETO DE 1500 PSI</v>
          </cell>
          <cell r="C154" t="str">
            <v>m3</v>
          </cell>
          <cell r="D154">
            <v>270000</v>
          </cell>
        </row>
        <row r="155">
          <cell r="B155" t="str">
            <v>CONCRETO DE 2000 PSI</v>
          </cell>
          <cell r="C155" t="str">
            <v>m3</v>
          </cell>
          <cell r="D155">
            <v>280000</v>
          </cell>
        </row>
        <row r="156">
          <cell r="B156" t="str">
            <v>CONCRETO DE 2500 PSI</v>
          </cell>
          <cell r="C156" t="str">
            <v>m3</v>
          </cell>
          <cell r="D156">
            <v>290000</v>
          </cell>
        </row>
        <row r="157">
          <cell r="B157" t="str">
            <v>CONCRETO DE 3000 PSI</v>
          </cell>
          <cell r="C157" t="str">
            <v>m3</v>
          </cell>
          <cell r="D157">
            <v>320000</v>
          </cell>
        </row>
        <row r="158">
          <cell r="B158" t="str">
            <v>CONCRETO DE 3500 PSI</v>
          </cell>
          <cell r="C158" t="str">
            <v>m3</v>
          </cell>
          <cell r="D158">
            <v>330000</v>
          </cell>
        </row>
        <row r="159">
          <cell r="B159" t="str">
            <v>CONCRETO DE 4000 PSI</v>
          </cell>
          <cell r="C159" t="str">
            <v>m3</v>
          </cell>
          <cell r="D159">
            <v>360000</v>
          </cell>
        </row>
        <row r="160">
          <cell r="B160" t="str">
            <v>CONCRETO TREMIE TORNILLO DE 3000 PSI</v>
          </cell>
          <cell r="C160" t="str">
            <v>m3</v>
          </cell>
          <cell r="D160">
            <v>350000</v>
          </cell>
        </row>
        <row r="161">
          <cell r="B161" t="str">
            <v>CONCRETO TREMIE TORNILLO DE 4000 PSI</v>
          </cell>
          <cell r="C161" t="str">
            <v>m3</v>
          </cell>
          <cell r="D161">
            <v>380000</v>
          </cell>
        </row>
        <row r="162">
          <cell r="B162" t="str">
            <v>CONCRETO DE 3500 PSI BAJA PERMEABILIDAD</v>
          </cell>
          <cell r="C162" t="str">
            <v>m3</v>
          </cell>
          <cell r="D162">
            <v>350000</v>
          </cell>
        </row>
        <row r="163">
          <cell r="B163" t="str">
            <v>COPA ESMERIL</v>
          </cell>
          <cell r="C163" t="str">
            <v>un</v>
          </cell>
          <cell r="D163">
            <v>60000</v>
          </cell>
        </row>
        <row r="164">
          <cell r="B164" t="str">
            <v>COPA SIERRA</v>
          </cell>
          <cell r="C164" t="str">
            <v>un</v>
          </cell>
          <cell r="D164">
            <v>14500</v>
          </cell>
        </row>
        <row r="165">
          <cell r="B165" t="str">
            <v>CORREA EN MADERA</v>
          </cell>
          <cell r="C165" t="str">
            <v>ml</v>
          </cell>
          <cell r="D165">
            <v>35000</v>
          </cell>
        </row>
        <row r="166">
          <cell r="B166" t="str">
            <v>CORREA METALICA</v>
          </cell>
          <cell r="C166" t="str">
            <v>ml</v>
          </cell>
          <cell r="D166">
            <v>12500</v>
          </cell>
        </row>
        <row r="167">
          <cell r="B167" t="str">
            <v>CORTACIRCUITOS 15 KV-100 AMPERIOS-</v>
          </cell>
          <cell r="C167" t="str">
            <v>un</v>
          </cell>
          <cell r="D167">
            <v>550000</v>
          </cell>
        </row>
        <row r="168">
          <cell r="B168" t="str">
            <v xml:space="preserve">Cortina corrida Automática tipo Blackout, h= 1.10 m </v>
          </cell>
          <cell r="C168" t="str">
            <v>ml</v>
          </cell>
          <cell r="D168">
            <v>180000</v>
          </cell>
        </row>
        <row r="169">
          <cell r="B169" t="str">
            <v>CURVA 90º PVC 1/2"</v>
          </cell>
          <cell r="C169" t="str">
            <v>un</v>
          </cell>
          <cell r="D169">
            <v>500</v>
          </cell>
        </row>
        <row r="170">
          <cell r="B170" t="str">
            <v>DESAGUE LAVAMANOS SENCILLO Gerfor GF-581084</v>
          </cell>
          <cell r="C170" t="str">
            <v>un</v>
          </cell>
          <cell r="D170">
            <v>15000</v>
          </cell>
        </row>
        <row r="171">
          <cell r="B171" t="str">
            <v>DESAGUE ORINAL 1 1/2"</v>
          </cell>
          <cell r="C171" t="str">
            <v>un</v>
          </cell>
          <cell r="D171">
            <v>14500</v>
          </cell>
        </row>
        <row r="172">
          <cell r="B172" t="str">
            <v>DESCARGADOR DE SOBRETENSION TIPO  LINEA 12 KV- 10 KA-</v>
          </cell>
          <cell r="C172" t="str">
            <v>un</v>
          </cell>
          <cell r="D172">
            <v>480000</v>
          </cell>
        </row>
        <row r="173">
          <cell r="B173" t="str">
            <v xml:space="preserve">DESCARGADOR FRANKLIN DE 5 PUNTAS </v>
          </cell>
          <cell r="C173" t="str">
            <v>un</v>
          </cell>
          <cell r="D173">
            <v>950000</v>
          </cell>
        </row>
        <row r="174">
          <cell r="B174" t="str">
            <v>DIAGONALES</v>
          </cell>
          <cell r="C174" t="str">
            <v>un</v>
          </cell>
          <cell r="D174">
            <v>8500</v>
          </cell>
        </row>
        <row r="175">
          <cell r="B175" t="str">
            <v>DILATACION BRONCE</v>
          </cell>
          <cell r="C175" t="str">
            <v>ml</v>
          </cell>
          <cell r="D175">
            <v>4500</v>
          </cell>
        </row>
        <row r="176">
          <cell r="B176" t="str">
            <v>DILATACIÓN EN BRONCE PC13</v>
          </cell>
          <cell r="C176" t="str">
            <v>ml</v>
          </cell>
          <cell r="D176">
            <v>18500</v>
          </cell>
        </row>
        <row r="177">
          <cell r="B177" t="str">
            <v>DINTELES EN CONCRETO h=0.15m x 0.2m (2500 PSI Mezcla 1:3:3)</v>
          </cell>
          <cell r="C177" t="str">
            <v>ml</v>
          </cell>
          <cell r="D177">
            <v>25000</v>
          </cell>
        </row>
        <row r="178">
          <cell r="B178" t="str">
            <v>DISCO CORTE LADRILLO Y7O CONCRETO</v>
          </cell>
          <cell r="C178" t="str">
            <v>un</v>
          </cell>
          <cell r="D178">
            <v>12500</v>
          </cell>
        </row>
        <row r="179">
          <cell r="B179" t="str">
            <v>DISCO PARA CORTE METAL</v>
          </cell>
          <cell r="C179" t="str">
            <v>un</v>
          </cell>
          <cell r="D179">
            <v>7500</v>
          </cell>
        </row>
        <row r="180">
          <cell r="B180" t="str">
            <v>DISPENSADOR JABON</v>
          </cell>
          <cell r="C180" t="str">
            <v>un</v>
          </cell>
          <cell r="D180">
            <v>32000</v>
          </cell>
        </row>
        <row r="181">
          <cell r="B181" t="str">
            <v>DUCHA Antivandalica Docol DO-17125106</v>
          </cell>
          <cell r="C181" t="str">
            <v>un</v>
          </cell>
          <cell r="D181">
            <v>150000</v>
          </cell>
        </row>
        <row r="182">
          <cell r="B182" t="str">
            <v>DUCHA CON MEZCLADOR</v>
          </cell>
          <cell r="C182" t="str">
            <v>un</v>
          </cell>
          <cell r="D182">
            <v>60000</v>
          </cell>
        </row>
        <row r="183">
          <cell r="B183" t="str">
            <v>DUCHA CON REGISTRO</v>
          </cell>
          <cell r="C183" t="str">
            <v>un</v>
          </cell>
          <cell r="D183">
            <v>35000</v>
          </cell>
        </row>
        <row r="184">
          <cell r="B184" t="str">
            <v>DUCHA ELECTRICA</v>
          </cell>
          <cell r="C184" t="str">
            <v>un</v>
          </cell>
          <cell r="D184">
            <v>55000</v>
          </cell>
        </row>
        <row r="185">
          <cell r="B185" t="str">
            <v>DURMIENTE ABARCO 4 m</v>
          </cell>
          <cell r="C185" t="str">
            <v>ml</v>
          </cell>
          <cell r="D185">
            <v>4200</v>
          </cell>
        </row>
        <row r="186">
          <cell r="B186" t="str">
            <v>DURMIENTE ORDINARIO DE 3 MTS</v>
          </cell>
          <cell r="C186" t="str">
            <v>un</v>
          </cell>
          <cell r="D186">
            <v>4500</v>
          </cell>
        </row>
        <row r="187">
          <cell r="B187" t="str">
            <v>ELEMENTOS FIJACION MANTO</v>
          </cell>
          <cell r="C187" t="str">
            <v>m2</v>
          </cell>
          <cell r="D187">
            <v>1000</v>
          </cell>
        </row>
        <row r="188">
          <cell r="B188" t="str">
            <v>EMPAQUES</v>
          </cell>
          <cell r="C188" t="str">
            <v>ml</v>
          </cell>
          <cell r="D188">
            <v>500</v>
          </cell>
        </row>
        <row r="189">
          <cell r="B189" t="str">
            <v>EMULSION ASFALTICA</v>
          </cell>
          <cell r="C189" t="str">
            <v>caneca</v>
          </cell>
          <cell r="D189">
            <v>75000</v>
          </cell>
        </row>
        <row r="190">
          <cell r="B190" t="str">
            <v>ENCHAPE  DE 20X30</v>
          </cell>
          <cell r="C190" t="str">
            <v>m2</v>
          </cell>
          <cell r="D190">
            <v>28500</v>
          </cell>
        </row>
        <row r="191">
          <cell r="B191" t="str">
            <v>ENCHAPE CERAMICA BLANCO</v>
          </cell>
          <cell r="C191" t="str">
            <v>m2</v>
          </cell>
          <cell r="D191">
            <v>27500</v>
          </cell>
        </row>
        <row r="192">
          <cell r="B192" t="str">
            <v>Enchape paredes interiores Triplex Cedro Tintillad</v>
          </cell>
          <cell r="C192" t="str">
            <v>m2</v>
          </cell>
          <cell r="D192">
            <v>60000</v>
          </cell>
        </row>
        <row r="193">
          <cell r="B193" t="str">
            <v xml:space="preserve">EQUIPO AUTOMÁTICO PARA ALUMBRADO DE EMERGENCIA REFERENCIA ILURAM IL3-2H  </v>
          </cell>
          <cell r="C193" t="str">
            <v>un</v>
          </cell>
          <cell r="D193">
            <v>340000</v>
          </cell>
        </row>
        <row r="194">
          <cell r="B194" t="str">
            <v xml:space="preserve">EQUIPO DE MEDICION  EN MEDIA TENSION </v>
          </cell>
          <cell r="C194" t="str">
            <v>un</v>
          </cell>
          <cell r="D194">
            <v>15500000</v>
          </cell>
        </row>
        <row r="195">
          <cell r="B195" t="str">
            <v>ESGRAFIADO PINTUCO 4 GALONES 30 KG</v>
          </cell>
          <cell r="C195" t="str">
            <v>un</v>
          </cell>
          <cell r="D195">
            <v>65000</v>
          </cell>
        </row>
        <row r="196">
          <cell r="B196" t="str">
            <v>ESMALTE  Sobre lamina lineal Tipo pintulx anoloc verde bronce.</v>
          </cell>
          <cell r="C196" t="str">
            <v>ml</v>
          </cell>
          <cell r="D196">
            <v>4500</v>
          </cell>
        </row>
        <row r="197">
          <cell r="B197" t="str">
            <v>ESMALTE  Sobre lamina llena Tipo pintulx</v>
          </cell>
          <cell r="C197" t="str">
            <v>m2</v>
          </cell>
          <cell r="D197">
            <v>8000</v>
          </cell>
        </row>
        <row r="198">
          <cell r="B198" t="str">
            <v>ESMALTE ANTIHUMEDAD LAVABLE</v>
          </cell>
          <cell r="C198" t="str">
            <v>gl</v>
          </cell>
          <cell r="D198">
            <v>65000</v>
          </cell>
        </row>
        <row r="199">
          <cell r="B199" t="str">
            <v>ESMALTE SINTÉTICO PINTULUX</v>
          </cell>
          <cell r="C199" t="str">
            <v>gl</v>
          </cell>
          <cell r="D199">
            <v>65000</v>
          </cell>
        </row>
        <row r="200">
          <cell r="B200" t="str">
            <v>ESPEJO BORDE BISELADO DE 0.70X1.00</v>
          </cell>
          <cell r="C200" t="str">
            <v>un</v>
          </cell>
          <cell r="D200">
            <v>75000</v>
          </cell>
        </row>
        <row r="201">
          <cell r="B201" t="str">
            <v>ESPEJO DE SEGURIDAD DE 40 CM</v>
          </cell>
          <cell r="C201" t="str">
            <v>un</v>
          </cell>
          <cell r="D201">
            <v>40000</v>
          </cell>
        </row>
        <row r="202">
          <cell r="B202" t="str">
            <v>ESTACAS</v>
          </cell>
          <cell r="C202" t="str">
            <v>un</v>
          </cell>
          <cell r="D202">
            <v>50</v>
          </cell>
        </row>
        <row r="203">
          <cell r="B203" t="str">
            <v>ESTACIUON MANUAL DE APERTURA REF. BDS121/e SIEMENS o similar en marca reconocida</v>
          </cell>
          <cell r="C203" t="str">
            <v>un</v>
          </cell>
          <cell r="D203">
            <v>120000</v>
          </cell>
        </row>
        <row r="204">
          <cell r="B204" t="str">
            <v>ESTRUCTURA CIELORASO DRYWALL(OMEGA-ANGULO-PARAL-TORNILLOS)</v>
          </cell>
          <cell r="C204" t="str">
            <v>m2</v>
          </cell>
          <cell r="D204">
            <v>15000</v>
          </cell>
        </row>
        <row r="205">
          <cell r="B205" t="str">
            <v>ESTRUCTURA CONEXIÓN RED TRENZADA CONJUNTO LA 320</v>
          </cell>
          <cell r="C205" t="str">
            <v>un</v>
          </cell>
          <cell r="D205">
            <v>115000</v>
          </cell>
        </row>
        <row r="206">
          <cell r="B206" t="str">
            <v>ESTRUCTURA CONEXIÓN RED TRENZADA CONJUNTO LA 321</v>
          </cell>
          <cell r="C206" t="str">
            <v>un</v>
          </cell>
          <cell r="D206">
            <v>200000</v>
          </cell>
        </row>
        <row r="207">
          <cell r="B207" t="str">
            <v>ESTRUCTURA CONEXIÓN RED TRENZADA CONJUNTO LA 324</v>
          </cell>
          <cell r="C207" t="str">
            <v>un</v>
          </cell>
          <cell r="D207">
            <v>263500</v>
          </cell>
        </row>
        <row r="208">
          <cell r="B208" t="str">
            <v>ESQUINERO PLASTICO 2m</v>
          </cell>
          <cell r="C208" t="str">
            <v>un</v>
          </cell>
          <cell r="D208">
            <v>3500</v>
          </cell>
        </row>
        <row r="209">
          <cell r="B209" t="str">
            <v>ESTUCO PLASTICO</v>
          </cell>
          <cell r="C209" t="str">
            <v>caneca</v>
          </cell>
          <cell r="D209">
            <v>50000</v>
          </cell>
        </row>
        <row r="210">
          <cell r="B210" t="str">
            <v>ESTUFA CHALLENGER DE EMPOTRAR 4 PUESTOS ELECTRICA</v>
          </cell>
          <cell r="C210" t="str">
            <v>un</v>
          </cell>
          <cell r="D210">
            <v>527684</v>
          </cell>
        </row>
        <row r="211">
          <cell r="B211" t="str">
            <v>ESTUFA DE EMPOTRAR MIXTA 4 PUESTOS</v>
          </cell>
          <cell r="C211" t="str">
            <v>un</v>
          </cell>
          <cell r="D211">
            <v>775000</v>
          </cell>
        </row>
        <row r="212">
          <cell r="B212" t="str">
            <v>ESTUFA ELECTRICA 2 PUESTOS</v>
          </cell>
          <cell r="C212" t="str">
            <v>un</v>
          </cell>
          <cell r="D212">
            <v>285000</v>
          </cell>
        </row>
        <row r="213">
          <cell r="B213" t="str">
            <v>EXTRAXTOR DE OLOR DE 20X20</v>
          </cell>
          <cell r="C213" t="str">
            <v>un</v>
          </cell>
          <cell r="D213">
            <v>162284</v>
          </cell>
        </row>
        <row r="214">
          <cell r="B214" t="str">
            <v>Fachada Closet 4 Ptas Cedro ( Tintillado )</v>
          </cell>
          <cell r="C214" t="str">
            <v>m2</v>
          </cell>
          <cell r="D214">
            <v>300000</v>
          </cell>
        </row>
        <row r="215">
          <cell r="B215" t="str">
            <v>FIJADORES DE ALA</v>
          </cell>
          <cell r="C215" t="str">
            <v>un</v>
          </cell>
          <cell r="D215">
            <v>1200</v>
          </cell>
        </row>
        <row r="216">
          <cell r="B216" t="str">
            <v>FILTRO AEROBICO CON ACC.</v>
          </cell>
          <cell r="C216" t="str">
            <v>un</v>
          </cell>
          <cell r="D216">
            <v>35000</v>
          </cell>
        </row>
        <row r="217">
          <cell r="B217" t="str">
            <v>FILTRO DE DRENAJE 0.5 x 0.5 CON RELLENO EN GRAVILLA DE RIO 3/4" - 1" (SIN EXCAVACIÓN)</v>
          </cell>
          <cell r="C217" t="str">
            <v>ml</v>
          </cell>
          <cell r="D217">
            <v>65000</v>
          </cell>
        </row>
        <row r="218">
          <cell r="B218" t="str">
            <v>FORMALETA ENTREPISOS, con camilla</v>
          </cell>
          <cell r="C218" t="str">
            <v>ms</v>
          </cell>
          <cell r="D218">
            <v>2500</v>
          </cell>
        </row>
        <row r="219">
          <cell r="B219" t="str">
            <v>GANCHOS ANCLAJES TEJA THERMOACUSTICA</v>
          </cell>
          <cell r="C219" t="str">
            <v>M2</v>
          </cell>
          <cell r="D219">
            <v>2000</v>
          </cell>
        </row>
        <row r="220">
          <cell r="B220" t="str">
            <v>GANCHO TEJA ETERNIT 55 mm</v>
          </cell>
          <cell r="C220" t="str">
            <v>un</v>
          </cell>
          <cell r="D220">
            <v>1500</v>
          </cell>
        </row>
        <row r="221">
          <cell r="B221" t="str">
            <v>GEOTEXTIL NO TEJIDO</v>
          </cell>
          <cell r="C221" t="str">
            <v>m2</v>
          </cell>
          <cell r="D221">
            <v>8000</v>
          </cell>
        </row>
        <row r="222">
          <cell r="B222" t="str">
            <v>GEOTEXTIL TR 4000</v>
          </cell>
          <cell r="C222" t="str">
            <v>m2</v>
          </cell>
          <cell r="D222">
            <v>9500</v>
          </cell>
        </row>
        <row r="223">
          <cell r="B223" t="str">
            <v>GRANITO TRAVERTINO</v>
          </cell>
          <cell r="C223" t="str">
            <v>bto</v>
          </cell>
          <cell r="D223">
            <v>18500</v>
          </cell>
        </row>
        <row r="224">
          <cell r="B224" t="str">
            <v xml:space="preserve">GRAVILLA </v>
          </cell>
          <cell r="C224" t="str">
            <v>m3</v>
          </cell>
          <cell r="D224">
            <v>75000</v>
          </cell>
        </row>
        <row r="225">
          <cell r="B225" t="str">
            <v>GRIFERIA AHORRADORA TIPO PUSH</v>
          </cell>
          <cell r="C225" t="str">
            <v>un</v>
          </cell>
          <cell r="D225">
            <v>125000</v>
          </cell>
        </row>
        <row r="226">
          <cell r="B226" t="str">
            <v>GRIFERIA LAVAMANOS LINEA FENIX 4"</v>
          </cell>
          <cell r="C226" t="str">
            <v>un</v>
          </cell>
          <cell r="D226">
            <v>115000</v>
          </cell>
        </row>
        <row r="227">
          <cell r="B227" t="str">
            <v>GUARDAESCOBA EN CERAMICA</v>
          </cell>
          <cell r="C227" t="str">
            <v>ml</v>
          </cell>
          <cell r="D227">
            <v>7500</v>
          </cell>
        </row>
        <row r="228">
          <cell r="B228" t="str">
            <v>GUARDAESCOBA EN GRANADILLO</v>
          </cell>
          <cell r="C228" t="str">
            <v>ml</v>
          </cell>
          <cell r="D228">
            <v>13000</v>
          </cell>
        </row>
        <row r="229">
          <cell r="B229" t="str">
            <v>GRIFERIA LAVAPLATOS GRIVAL LINEA AMARETO</v>
          </cell>
          <cell r="C229" t="str">
            <v>un</v>
          </cell>
          <cell r="D229">
            <v>105000</v>
          </cell>
        </row>
        <row r="230">
          <cell r="B230" t="str">
            <v>GUARDAESCOBA PORCELANATO</v>
          </cell>
          <cell r="C230" t="str">
            <v>ml</v>
          </cell>
          <cell r="D230">
            <v>10000</v>
          </cell>
        </row>
        <row r="231">
          <cell r="B231" t="str">
            <v>IGAS GRIS - Masilla plastica 25210351</v>
          </cell>
          <cell r="C231" t="str">
            <v>kg</v>
          </cell>
          <cell r="D231">
            <v>800</v>
          </cell>
        </row>
        <row r="232">
          <cell r="B232" t="str">
            <v>IMPRIMANTE DE VINILO</v>
          </cell>
          <cell r="C232" t="str">
            <v>gl</v>
          </cell>
          <cell r="D232">
            <v>25000</v>
          </cell>
        </row>
        <row r="233">
          <cell r="B233" t="str">
            <v>HERRAJES MUEBLES MADERA</v>
          </cell>
          <cell r="C233" t="str">
            <v>un</v>
          </cell>
          <cell r="D233">
            <v>8500</v>
          </cell>
        </row>
        <row r="234">
          <cell r="B234" t="str">
            <v>Interior Closet en triplex cedro (Tintillado )</v>
          </cell>
          <cell r="C234" t="str">
            <v>m2</v>
          </cell>
          <cell r="D234">
            <v>65000</v>
          </cell>
        </row>
        <row r="235">
          <cell r="B235" t="str">
            <v>INTERRUPTOR CAJA MOLDEADA 3X40A / 25KA. CALIDAD MERLIN GERIN, SIEMENS O SUPERIOR</v>
          </cell>
          <cell r="C235" t="str">
            <v>un</v>
          </cell>
          <cell r="D235">
            <v>140000</v>
          </cell>
        </row>
        <row r="236">
          <cell r="B236" t="str">
            <v>INTERRUPTOR CAJA MOLDEADA 3X80A / 50KA - 240V.</v>
          </cell>
          <cell r="C236" t="str">
            <v>un</v>
          </cell>
          <cell r="D236">
            <v>410000</v>
          </cell>
        </row>
        <row r="237">
          <cell r="B237" t="str">
            <v>INTERRUPTOR DE TRANSFERENCIA TIPO SECCIONADOR TRIPOLAR</v>
          </cell>
          <cell r="C237" t="str">
            <v>un</v>
          </cell>
          <cell r="D237">
            <v>12900000</v>
          </cell>
        </row>
        <row r="238">
          <cell r="B238" t="str">
            <v xml:space="preserve">INTERRUPTOR DOBLE </v>
          </cell>
          <cell r="C238" t="str">
            <v>un</v>
          </cell>
          <cell r="D238">
            <v>5500</v>
          </cell>
        </row>
        <row r="239">
          <cell r="B239" t="str">
            <v>INTERRUPTOR DOBLE CONMUTABLE</v>
          </cell>
          <cell r="C239" t="str">
            <v>un</v>
          </cell>
          <cell r="D239">
            <v>6500</v>
          </cell>
        </row>
        <row r="240">
          <cell r="B240" t="str">
            <v>INTERRUPTOR ENCHUFABLE DE 2X20  A - 240 v - 10 ka</v>
          </cell>
          <cell r="C240" t="str">
            <v>un</v>
          </cell>
          <cell r="D240">
            <v>18000</v>
          </cell>
        </row>
        <row r="241">
          <cell r="B241" t="str">
            <v>INTERRUPTOR ENCHUFABLE DE 2X30  A - 240 v - 10 ka</v>
          </cell>
          <cell r="C241" t="str">
            <v>un</v>
          </cell>
          <cell r="D241">
            <v>18000</v>
          </cell>
        </row>
        <row r="242">
          <cell r="B242" t="str">
            <v xml:space="preserve">INTERRUPTOR SENCILLO </v>
          </cell>
          <cell r="C242" t="str">
            <v>un</v>
          </cell>
          <cell r="D242">
            <v>7500</v>
          </cell>
        </row>
        <row r="243">
          <cell r="B243" t="str">
            <v>INTERRUPTOR SENCILLO CONMUTABLE CON LUZ PILOTO</v>
          </cell>
          <cell r="C243" t="str">
            <v>un</v>
          </cell>
          <cell r="D243">
            <v>12500</v>
          </cell>
        </row>
        <row r="244">
          <cell r="B244" t="str">
            <v>INTERRUPTOR SENCILLOCON LUZ PILOTO</v>
          </cell>
          <cell r="C244" t="str">
            <v>un</v>
          </cell>
          <cell r="D244">
            <v>8500</v>
          </cell>
        </row>
        <row r="245">
          <cell r="B245" t="str">
            <v>INTERRUPTORES ENCHUFABLES DE 1X15  A - 240 v - 10 ka</v>
          </cell>
          <cell r="C245" t="str">
            <v>un</v>
          </cell>
          <cell r="D245">
            <v>8100</v>
          </cell>
        </row>
        <row r="246">
          <cell r="B246" t="str">
            <v>INTERRUPTORES ENCHUFABLES DE 1X20  A - 240 v - 10 kA</v>
          </cell>
          <cell r="C246" t="str">
            <v>un</v>
          </cell>
          <cell r="D246">
            <v>8100</v>
          </cell>
        </row>
        <row r="247">
          <cell r="B247" t="str">
            <v>INTERRUPTORES ENCHUFABLES DE 3X30  A - 240 v - 10 ka</v>
          </cell>
          <cell r="C247" t="str">
            <v>un</v>
          </cell>
          <cell r="D247">
            <v>50000</v>
          </cell>
        </row>
        <row r="248">
          <cell r="B248" t="str">
            <v>Jabonera - GRIVAL</v>
          </cell>
          <cell r="C248" t="str">
            <v>un</v>
          </cell>
          <cell r="D248">
            <v>70000</v>
          </cell>
        </row>
        <row r="249">
          <cell r="B249" t="str">
            <v>Jabonera Ducha - GRIVAL</v>
          </cell>
          <cell r="C249" t="str">
            <v>un</v>
          </cell>
          <cell r="D249">
            <v>65000</v>
          </cell>
        </row>
        <row r="250">
          <cell r="B250" t="str">
            <v>KORAZA Pintuco</v>
          </cell>
          <cell r="C250" t="str">
            <v>gl</v>
          </cell>
          <cell r="D250">
            <v>30000</v>
          </cell>
        </row>
        <row r="251">
          <cell r="B251" t="str">
            <v>LACA</v>
          </cell>
          <cell r="C251" t="str">
            <v>gl</v>
          </cell>
          <cell r="D251">
            <v>45000</v>
          </cell>
        </row>
        <row r="252">
          <cell r="B252" t="str">
            <v>LACA PARA MADERA</v>
          </cell>
          <cell r="C252" t="str">
            <v>gl</v>
          </cell>
          <cell r="D252">
            <v>50000</v>
          </cell>
        </row>
        <row r="253">
          <cell r="B253" t="str">
            <v>LADRILLO PORTANTE 12X29X9</v>
          </cell>
          <cell r="C253" t="str">
            <v>un</v>
          </cell>
          <cell r="D253">
            <v>1050</v>
          </cell>
        </row>
        <row r="254">
          <cell r="B254" t="str">
            <v>Ladrillo Prensado</v>
          </cell>
          <cell r="C254" t="str">
            <v>un</v>
          </cell>
          <cell r="D254">
            <v>650</v>
          </cell>
        </row>
        <row r="255">
          <cell r="B255" t="str">
            <v>LADRILLO RECOCIDO</v>
          </cell>
          <cell r="C255" t="str">
            <v>un</v>
          </cell>
          <cell r="D255">
            <v>450</v>
          </cell>
        </row>
        <row r="256">
          <cell r="B256" t="str">
            <v>LADRILLO TOLETE COMUN RECOCIDO</v>
          </cell>
          <cell r="C256" t="str">
            <v>un</v>
          </cell>
          <cell r="D256">
            <v>350</v>
          </cell>
        </row>
        <row r="257">
          <cell r="B257" t="str">
            <v>LÁMINA COLD ROLLED Cal.16 (1.22x 2.44 )</v>
          </cell>
          <cell r="C257" t="str">
            <v>un</v>
          </cell>
          <cell r="D257">
            <v>170000</v>
          </cell>
        </row>
        <row r="258">
          <cell r="B258" t="str">
            <v xml:space="preserve">LÁMINA COLD ROLLED Cal.18 </v>
          </cell>
          <cell r="C258" t="str">
            <v>un</v>
          </cell>
          <cell r="D258">
            <v>105000</v>
          </cell>
        </row>
        <row r="259">
          <cell r="B259" t="str">
            <v>LÁMINA COLD ROLLED Cal.18 (1.22x 2.44 )</v>
          </cell>
          <cell r="C259" t="str">
            <v>un</v>
          </cell>
          <cell r="D259">
            <v>56000</v>
          </cell>
        </row>
        <row r="260">
          <cell r="B260" t="str">
            <v>LÁMINA COLD ROLLED Cal.20 (1.00x 2.00 )</v>
          </cell>
          <cell r="C260" t="str">
            <v>un</v>
          </cell>
          <cell r="D260">
            <v>30100</v>
          </cell>
        </row>
        <row r="261">
          <cell r="B261" t="str">
            <v>LÁMINA COLD ROLLED Cal.20 (1.22x 2.44 )</v>
          </cell>
          <cell r="C261" t="str">
            <v>un</v>
          </cell>
          <cell r="D261">
            <v>40600</v>
          </cell>
        </row>
        <row r="262">
          <cell r="B262" t="str">
            <v>LAMINA DE ACRILICO DE 0.60X2.44 DE 1.80 mm</v>
          </cell>
          <cell r="C262" t="str">
            <v>un</v>
          </cell>
          <cell r="D262">
            <v>30100</v>
          </cell>
        </row>
        <row r="263">
          <cell r="B263" t="str">
            <v>LAMINA COLABORANTE METALDECK 2" GRADO 40 CAL 22</v>
          </cell>
          <cell r="C263" t="str">
            <v>m2</v>
          </cell>
          <cell r="D263">
            <v>26000</v>
          </cell>
        </row>
        <row r="264">
          <cell r="B264" t="str">
            <v>LAMINA DE ACRILICO DE 1.20X1.80 DE 3.0 mm con color</v>
          </cell>
          <cell r="C264" t="str">
            <v>un</v>
          </cell>
          <cell r="D264">
            <v>45000</v>
          </cell>
        </row>
        <row r="265">
          <cell r="B265" t="str">
            <v>LAMINA DE ACRILICO DE 1.20X1.80 DE 3.0 mm sin color</v>
          </cell>
          <cell r="C265" t="str">
            <v>un</v>
          </cell>
          <cell r="D265">
            <v>64000</v>
          </cell>
        </row>
        <row r="266">
          <cell r="B266" t="str">
            <v>LAMINA DE ACRILICO DE 1.20X1.80 DE 3.00 mm</v>
          </cell>
          <cell r="C266" t="str">
            <v>un</v>
          </cell>
          <cell r="D266">
            <v>100000</v>
          </cell>
        </row>
        <row r="267">
          <cell r="B267" t="str">
            <v>LAMINA DRY WALL 1.22X2.44</v>
          </cell>
          <cell r="C267" t="str">
            <v>un</v>
          </cell>
          <cell r="D267">
            <v>22500</v>
          </cell>
        </row>
        <row r="268">
          <cell r="B268" t="str">
            <v>LAMINA EN ACRILICO DE 0.61X2,44 DE 1,8 mm</v>
          </cell>
          <cell r="C268" t="str">
            <v>un</v>
          </cell>
          <cell r="D268">
            <v>28000</v>
          </cell>
        </row>
        <row r="269">
          <cell r="B269" t="str">
            <v>LAMINA GALVANIZADA DE 1.00X2.00 CAL  22</v>
          </cell>
          <cell r="C269" t="str">
            <v>un</v>
          </cell>
          <cell r="D269">
            <v>32900</v>
          </cell>
        </row>
        <row r="270">
          <cell r="B270" t="str">
            <v>LAMINA GALVANIZADA DE 1.00X2.00 CAL  24</v>
          </cell>
          <cell r="C270" t="str">
            <v>un</v>
          </cell>
          <cell r="D270">
            <v>25500</v>
          </cell>
        </row>
        <row r="271">
          <cell r="B271" t="str">
            <v>LAMINA GALVANIZADA DE 1.00X2.00 CAL  26</v>
          </cell>
          <cell r="C271" t="str">
            <v>un</v>
          </cell>
          <cell r="D271">
            <v>19500</v>
          </cell>
        </row>
        <row r="272">
          <cell r="B272" t="str">
            <v>LAMINA GALVANIZADA DE 1.22X2.44 CAL  22</v>
          </cell>
          <cell r="C272" t="str">
            <v>un</v>
          </cell>
          <cell r="D272">
            <v>60000</v>
          </cell>
        </row>
        <row r="273">
          <cell r="B273" t="str">
            <v>LAMINA SUPERBOARD 1.22X2.44</v>
          </cell>
          <cell r="C273" t="str">
            <v>un</v>
          </cell>
          <cell r="D273">
            <v>38500</v>
          </cell>
        </row>
        <row r="274">
          <cell r="B274" t="str">
            <v>LIMATESA ETERNIT P7 L=1.14</v>
          </cell>
          <cell r="C274" t="str">
            <v>un</v>
          </cell>
          <cell r="D274">
            <v>15000</v>
          </cell>
        </row>
        <row r="275">
          <cell r="B275" t="str">
            <v>LAMINAS DURACUSTIC</v>
          </cell>
          <cell r="C275" t="str">
            <v>m2</v>
          </cell>
          <cell r="D275">
            <v>25000</v>
          </cell>
        </row>
        <row r="276">
          <cell r="B276" t="str">
            <v>LAMINAS EN ACRILICO DE 60X60</v>
          </cell>
          <cell r="C276" t="str">
            <v>un</v>
          </cell>
          <cell r="D276">
            <v>9500</v>
          </cell>
        </row>
        <row r="277">
          <cell r="B277" t="str">
            <v>LAMPARA DE 2x32</v>
          </cell>
          <cell r="C277" t="str">
            <v>un</v>
          </cell>
          <cell r="D277">
            <v>125000</v>
          </cell>
        </row>
        <row r="278">
          <cell r="B278" t="str">
            <v xml:space="preserve">Lampara para luminaria - sodio 150 WATTS. </v>
          </cell>
          <cell r="C278" t="str">
            <v>un</v>
          </cell>
          <cell r="D278">
            <v>40000</v>
          </cell>
        </row>
        <row r="279">
          <cell r="B279" t="str">
            <v>LAMPARA TIPO INCANDESCENTE DE 32 W</v>
          </cell>
          <cell r="C279" t="str">
            <v>un</v>
          </cell>
          <cell r="D279">
            <v>45000</v>
          </cell>
        </row>
        <row r="280">
          <cell r="B280" t="str">
            <v>LAMPARA OJO DE BUEY</v>
          </cell>
          <cell r="C280" t="str">
            <v>un</v>
          </cell>
          <cell r="D280">
            <v>45000</v>
          </cell>
        </row>
        <row r="281">
          <cell r="B281" t="str">
            <v>LAVAMANOS DE INCRUSTAR LINEA SAN LORENZO</v>
          </cell>
          <cell r="C281" t="str">
            <v>un</v>
          </cell>
          <cell r="D281">
            <v>160000</v>
          </cell>
        </row>
        <row r="282">
          <cell r="B282" t="str">
            <v>LAVAPLATOS EN ACERO</v>
          </cell>
          <cell r="C282" t="str">
            <v>un</v>
          </cell>
          <cell r="D282">
            <v>95000</v>
          </cell>
        </row>
        <row r="283">
          <cell r="B283" t="str">
            <v>LIJA</v>
          </cell>
          <cell r="C283" t="str">
            <v>un</v>
          </cell>
          <cell r="D283">
            <v>2000</v>
          </cell>
        </row>
        <row r="284">
          <cell r="B284" t="str">
            <v xml:space="preserve">LIJA </v>
          </cell>
          <cell r="C284" t="str">
            <v>un</v>
          </cell>
          <cell r="D284">
            <v>2000</v>
          </cell>
        </row>
        <row r="285">
          <cell r="B285" t="str">
            <v>LIMPIADOR PVC DE 1/4</v>
          </cell>
          <cell r="C285" t="str">
            <v>un</v>
          </cell>
          <cell r="D285">
            <v>25000</v>
          </cell>
        </row>
        <row r="286">
          <cell r="B286" t="str">
            <v>LISTON ORDINARIO</v>
          </cell>
          <cell r="C286" t="str">
            <v>ml</v>
          </cell>
          <cell r="D286">
            <v>1500</v>
          </cell>
        </row>
        <row r="287">
          <cell r="B287" t="str">
            <v>LISTÓN CEDRO MACHO 5x2 cm.</v>
          </cell>
          <cell r="C287" t="str">
            <v>ml</v>
          </cell>
          <cell r="D287">
            <v>3500</v>
          </cell>
        </row>
        <row r="288">
          <cell r="B288" t="str">
            <v>LISTON EN OTOBO PARA CIELORRASO</v>
          </cell>
          <cell r="C288" t="str">
            <v>m2</v>
          </cell>
          <cell r="D288">
            <v>55000</v>
          </cell>
        </row>
        <row r="289">
          <cell r="B289" t="str">
            <v>LLAVE MANGUERA DE 1/2"</v>
          </cell>
          <cell r="C289" t="str">
            <v>un</v>
          </cell>
          <cell r="D289">
            <v>20000</v>
          </cell>
        </row>
        <row r="290">
          <cell r="B290" t="str">
            <v>LLAVE PARA URINARIO</v>
          </cell>
          <cell r="C290" t="str">
            <v>un</v>
          </cell>
          <cell r="D290">
            <v>65000</v>
          </cell>
        </row>
        <row r="291">
          <cell r="B291" t="str">
            <v>LOCKER METALICO DE 0.45X2.00</v>
          </cell>
          <cell r="C291" t="str">
            <v>un</v>
          </cell>
          <cell r="D291">
            <v>225000</v>
          </cell>
        </row>
        <row r="292">
          <cell r="B292" t="str">
            <v>LOGO ACUEDUCTO EN ACERO DE 2.00X0.80</v>
          </cell>
          <cell r="C292" t="str">
            <v>un</v>
          </cell>
          <cell r="D292">
            <v>2500000</v>
          </cell>
        </row>
        <row r="293">
          <cell r="B293" t="str">
            <v>Luminaria abierta tipo INDULUX AA Sodio 400 WATTS.Pantalla de aluminio o policarbonato prismático, 633mmX482mm</v>
          </cell>
          <cell r="C293" t="str">
            <v>un</v>
          </cell>
          <cell r="D293">
            <v>265000</v>
          </cell>
        </row>
        <row r="294">
          <cell r="B294" t="str">
            <v xml:space="preserve">Luminaria completa fluorescente  TMS028 2xTL-D36W HFS 20 CMx 120 cm 120 voltios. </v>
          </cell>
          <cell r="C294" t="str">
            <v>un</v>
          </cell>
          <cell r="D294">
            <v>110000</v>
          </cell>
        </row>
        <row r="295">
          <cell r="B295" t="str">
            <v>Luminaria horizontal cerrada carcaza enteriza Sodio de alta presion  Potencia: 150W 208/220 Voltios . Incluye lampara y fotocelda</v>
          </cell>
          <cell r="C295" t="str">
            <v>un</v>
          </cell>
          <cell r="D295">
            <v>265000</v>
          </cell>
        </row>
        <row r="296">
          <cell r="B296" t="str">
            <v>LUMINARIA HORIZONTAL CERRADA DE 150 VATIOS-BOMBILLO SODIO ALTA PRESION</v>
          </cell>
          <cell r="C296" t="str">
            <v>un</v>
          </cell>
          <cell r="D296">
            <v>287500</v>
          </cell>
        </row>
        <row r="297">
          <cell r="B297" t="str">
            <v>LUMINARIA HORIZONTAL CERRADA DE 70 VATIOS-BOMBILLO SODIO ALTA PRESION</v>
          </cell>
          <cell r="C297" t="str">
            <v>un</v>
          </cell>
          <cell r="D297">
            <v>248000</v>
          </cell>
        </row>
        <row r="298">
          <cell r="B298" t="str">
            <v xml:space="preserve">Luminaria tipo reflector ROY ALHPA Ref: QUIMBAYA 70 WATTS 208 V. </v>
          </cell>
          <cell r="C298" t="str">
            <v>un</v>
          </cell>
          <cell r="D298">
            <v>120000</v>
          </cell>
        </row>
        <row r="299">
          <cell r="B299" t="str">
            <v>MADERA GRANADILLO</v>
          </cell>
          <cell r="C299" t="str">
            <v>m2</v>
          </cell>
          <cell r="D299">
            <v>85000</v>
          </cell>
        </row>
        <row r="300">
          <cell r="B300" t="str">
            <v xml:space="preserve">MALLA ELECTROSOLDADA </v>
          </cell>
          <cell r="C300" t="str">
            <v>kg</v>
          </cell>
          <cell r="D300">
            <v>2700</v>
          </cell>
        </row>
        <row r="301">
          <cell r="B301" t="str">
            <v>MALLA ELECTROSOLDADA M-084</v>
          </cell>
          <cell r="C301" t="str">
            <v>m2</v>
          </cell>
          <cell r="D301">
            <v>3900</v>
          </cell>
        </row>
        <row r="302">
          <cell r="B302" t="str">
            <v xml:space="preserve">MALLA ELECTROSOLDADA  6mm 15X15  6.00X2.35  42.20 KG </v>
          </cell>
          <cell r="C302" t="str">
            <v>un</v>
          </cell>
          <cell r="D302">
            <v>120000</v>
          </cell>
        </row>
        <row r="303">
          <cell r="B303" t="str">
            <v>MALLA PROTECCION Ancho = 4 m</v>
          </cell>
          <cell r="C303" t="str">
            <v>ml</v>
          </cell>
          <cell r="D303">
            <v>4500</v>
          </cell>
        </row>
        <row r="304">
          <cell r="B304" t="str">
            <v>MALLA GALLINERO</v>
          </cell>
          <cell r="C304" t="str">
            <v>m2</v>
          </cell>
          <cell r="D304">
            <v>1200</v>
          </cell>
        </row>
        <row r="305">
          <cell r="B305" t="str">
            <v>MALLA ONDULADA CAL 10 DE 1 1/2" x 1 1/2"</v>
          </cell>
          <cell r="C305" t="str">
            <v>m2</v>
          </cell>
          <cell r="D305">
            <v>30000</v>
          </cell>
        </row>
        <row r="306">
          <cell r="B306" t="str">
            <v>MALLA ONDULADA Cal. 12 1 1/2" (Alambre galv.)</v>
          </cell>
          <cell r="C306" t="str">
            <v>m2</v>
          </cell>
          <cell r="D306">
            <v>35000</v>
          </cell>
        </row>
        <row r="307">
          <cell r="B307" t="str">
            <v>MALLA ONDULADA Cal. 8 1 3/4" (Alambre galv.)</v>
          </cell>
          <cell r="C307" t="str">
            <v>m2</v>
          </cell>
          <cell r="D307">
            <v>32500</v>
          </cell>
        </row>
        <row r="308">
          <cell r="B308" t="str">
            <v>MANGUERA FLEXIBLE DE CONEXIÓN</v>
          </cell>
          <cell r="C308" t="str">
            <v>un</v>
          </cell>
          <cell r="D308">
            <v>15000</v>
          </cell>
        </row>
        <row r="309">
          <cell r="B309" t="str">
            <v>MANGUERAS DE LUCES TIPO AMERICANA</v>
          </cell>
          <cell r="C309" t="str">
            <v>ml</v>
          </cell>
          <cell r="D309">
            <v>30000</v>
          </cell>
        </row>
        <row r="310">
          <cell r="B310" t="str">
            <v>MANIJA VENTANA METALICA</v>
          </cell>
          <cell r="C310" t="str">
            <v>un</v>
          </cell>
          <cell r="D310">
            <v>1500</v>
          </cell>
        </row>
        <row r="311">
          <cell r="B311" t="str">
            <v>MANIOBRA DE TRANSFORMADOR</v>
          </cell>
          <cell r="C311" t="str">
            <v>un</v>
          </cell>
          <cell r="D311">
            <v>200000</v>
          </cell>
        </row>
        <row r="313">
          <cell r="B313" t="str">
            <v>MANTO ASFALTICO 10 M2</v>
          </cell>
          <cell r="C313" t="str">
            <v>rollo</v>
          </cell>
          <cell r="D313">
            <v>110000</v>
          </cell>
        </row>
        <row r="314">
          <cell r="B314" t="str">
            <v>MARCO CAJA INSP. 40 x 40</v>
          </cell>
          <cell r="C314" t="str">
            <v>un</v>
          </cell>
          <cell r="D314">
            <v>25000</v>
          </cell>
        </row>
        <row r="315">
          <cell r="B315" t="str">
            <v>MARCO CAJA INSP. 60 x 60</v>
          </cell>
          <cell r="C315" t="str">
            <v>un</v>
          </cell>
          <cell r="D315">
            <v>30000</v>
          </cell>
        </row>
        <row r="316">
          <cell r="B316" t="str">
            <v>MARCO EN ACERO PARA TAPA CAJA CS 276</v>
          </cell>
          <cell r="C316" t="str">
            <v>un</v>
          </cell>
          <cell r="D316">
            <v>180000</v>
          </cell>
        </row>
        <row r="317">
          <cell r="B317" t="str">
            <v>MARCO PUERTA MADERA</v>
          </cell>
          <cell r="C317" t="str">
            <v>un</v>
          </cell>
          <cell r="D317">
            <v>90000</v>
          </cell>
        </row>
        <row r="318">
          <cell r="B318" t="str">
            <v>MARCO PUERTA METALICA</v>
          </cell>
          <cell r="C318" t="str">
            <v>ml</v>
          </cell>
          <cell r="D318">
            <v>14500</v>
          </cell>
        </row>
        <row r="319">
          <cell r="B319" t="str">
            <v>MARCO SENCILLO EN ANGULO EN ACERO A-37</v>
          </cell>
          <cell r="C319" t="str">
            <v>un</v>
          </cell>
          <cell r="D319">
            <v>85000</v>
          </cell>
        </row>
        <row r="320">
          <cell r="B320" t="str">
            <v>MARCO VENTANA METALICA</v>
          </cell>
          <cell r="C320" t="str">
            <v>ml</v>
          </cell>
          <cell r="D320">
            <v>11500</v>
          </cell>
        </row>
        <row r="321">
          <cell r="B321" t="str">
            <v>MARCO Y CONTRAMARCO</v>
          </cell>
          <cell r="C321" t="str">
            <v>un</v>
          </cell>
          <cell r="D321">
            <v>100000</v>
          </cell>
        </row>
        <row r="322">
          <cell r="B322" t="str">
            <v>MARCO Y TAPA EN ALFAJOR DE 0,30X0,30</v>
          </cell>
          <cell r="C322" t="str">
            <v>un</v>
          </cell>
          <cell r="D322">
            <v>95000</v>
          </cell>
        </row>
        <row r="323">
          <cell r="B323" t="str">
            <v>MARMOLINA</v>
          </cell>
          <cell r="C323" t="str">
            <v>bto</v>
          </cell>
          <cell r="D323">
            <v>18500</v>
          </cell>
        </row>
        <row r="324">
          <cell r="B324" t="str">
            <v xml:space="preserve">MASILLA </v>
          </cell>
          <cell r="C324" t="str">
            <v>gl</v>
          </cell>
          <cell r="D324">
            <v>12500</v>
          </cell>
        </row>
        <row r="325">
          <cell r="B325" t="str">
            <v>MASTIL EN TUBO CONDUIT GALVANIZADO DE Ø1</v>
          </cell>
          <cell r="C325" t="str">
            <v>un</v>
          </cell>
          <cell r="D325">
            <v>40000</v>
          </cell>
        </row>
        <row r="326">
          <cell r="B326" t="str">
            <v>MASTIQUE PARA JUNTAS</v>
          </cell>
          <cell r="C326" t="str">
            <v>gl</v>
          </cell>
          <cell r="D326">
            <v>18500</v>
          </cell>
        </row>
        <row r="327">
          <cell r="B327" t="str">
            <v>MATERIAL GRANULAR</v>
          </cell>
          <cell r="C327" t="str">
            <v>m3</v>
          </cell>
          <cell r="D327">
            <v>25000</v>
          </cell>
        </row>
        <row r="328">
          <cell r="B328" t="str">
            <v>MEDIDOR DE 1/2"</v>
          </cell>
          <cell r="C328" t="str">
            <v>un</v>
          </cell>
          <cell r="D328">
            <v>68000</v>
          </cell>
        </row>
        <row r="329">
          <cell r="B329" t="str">
            <v>MEDIDOR DE AGUA      1/2"</v>
          </cell>
          <cell r="C329" t="str">
            <v>un</v>
          </cell>
          <cell r="D329">
            <v>68000</v>
          </cell>
        </row>
        <row r="330">
          <cell r="B330" t="str">
            <v>MEDIDOR TRIFASICO TETRAFILAR 50(150)A 208-120V;</v>
          </cell>
          <cell r="C330" t="str">
            <v>un</v>
          </cell>
          <cell r="D330">
            <v>1150000</v>
          </cell>
        </row>
        <row r="331">
          <cell r="B331" t="str">
            <v>MEDIDORES DE 4"</v>
          </cell>
          <cell r="C331" t="str">
            <v>un</v>
          </cell>
          <cell r="D331">
            <v>1800000</v>
          </cell>
        </row>
        <row r="332">
          <cell r="B332" t="str">
            <v>MESON EN ACERO INOXIDABLE DE 60 cm CAL 20</v>
          </cell>
          <cell r="C332" t="str">
            <v>ml</v>
          </cell>
          <cell r="D332">
            <v>300000</v>
          </cell>
        </row>
        <row r="333">
          <cell r="B333" t="str">
            <v xml:space="preserve">MEZCLADOR LAVAPLATOS </v>
          </cell>
          <cell r="C333" t="str">
            <v>un</v>
          </cell>
          <cell r="D333">
            <v>245000</v>
          </cell>
        </row>
        <row r="334">
          <cell r="B334" t="str">
            <v>MINISPLIT LG 18000 BTU</v>
          </cell>
          <cell r="C334" t="str">
            <v>un</v>
          </cell>
          <cell r="D334">
            <v>1700000</v>
          </cell>
        </row>
        <row r="335">
          <cell r="B335" t="str">
            <v>MORTERO 1:3 ( arena semilavada de peña )</v>
          </cell>
          <cell r="C335" t="str">
            <v>m3</v>
          </cell>
          <cell r="D335">
            <v>245000</v>
          </cell>
        </row>
        <row r="336">
          <cell r="B336" t="str">
            <v>MORTERO 1:4 ( arena semilavada )</v>
          </cell>
          <cell r="C336" t="str">
            <v>m3</v>
          </cell>
          <cell r="D336">
            <v>225000</v>
          </cell>
        </row>
        <row r="337">
          <cell r="B337" t="str">
            <v>MORTERO 1:3 IMPERMEABILIZADO</v>
          </cell>
          <cell r="C337" t="str">
            <v>m3</v>
          </cell>
          <cell r="D337">
            <v>265000</v>
          </cell>
        </row>
        <row r="338">
          <cell r="B338" t="str">
            <v>MORTERO 1:5</v>
          </cell>
          <cell r="C338" t="str">
            <v>m3</v>
          </cell>
          <cell r="D338">
            <v>215000</v>
          </cell>
        </row>
        <row r="339">
          <cell r="B339" t="str">
            <v>MURO EN LADRILLO TOLETE COMUN EN 0.125 CON PEGA DE MORTERO 1:5</v>
          </cell>
          <cell r="C339" t="str">
            <v>m2</v>
          </cell>
          <cell r="D339">
            <v>38000</v>
          </cell>
        </row>
        <row r="340">
          <cell r="B340" t="str">
            <v>NIPLE GALAVANIZADO DE 4" SH 40</v>
          </cell>
          <cell r="C340" t="str">
            <v>un</v>
          </cell>
          <cell r="D340">
            <v>69600</v>
          </cell>
        </row>
        <row r="341">
          <cell r="B341" t="str">
            <v>ORINAL MEDIANO BLANCO PORCELANA</v>
          </cell>
          <cell r="C341" t="str">
            <v>un</v>
          </cell>
          <cell r="D341">
            <v>195000</v>
          </cell>
        </row>
        <row r="342">
          <cell r="B342" t="str">
            <v>PABMERIL PLIEGO 9" x 11"</v>
          </cell>
          <cell r="C342" t="str">
            <v>un</v>
          </cell>
          <cell r="D342">
            <v>2000</v>
          </cell>
        </row>
        <row r="343">
          <cell r="B343" t="str">
            <v>PARLANTE</v>
          </cell>
          <cell r="C343" t="str">
            <v>un</v>
          </cell>
          <cell r="D343">
            <v>250000</v>
          </cell>
        </row>
        <row r="344">
          <cell r="B344" t="str">
            <v xml:space="preserve">PALETAS REFLECTIVAS DE SEÑALIZACION -CONOS-CINTA SEÑALI </v>
          </cell>
          <cell r="C344" t="str">
            <v>gl</v>
          </cell>
          <cell r="D344">
            <v>200000</v>
          </cell>
        </row>
        <row r="345">
          <cell r="B345" t="str">
            <v>PASTO</v>
          </cell>
          <cell r="C345" t="str">
            <v>m2</v>
          </cell>
          <cell r="D345">
            <v>3000</v>
          </cell>
        </row>
        <row r="346">
          <cell r="B346" t="str">
            <v>PEGACOR BLANCO</v>
          </cell>
          <cell r="C346" t="str">
            <v>kg</v>
          </cell>
          <cell r="D346">
            <v>1000</v>
          </cell>
        </row>
        <row r="347">
          <cell r="B347" t="str">
            <v>PEGACOR E-50</v>
          </cell>
          <cell r="C347" t="str">
            <v>kg</v>
          </cell>
          <cell r="D347">
            <v>800</v>
          </cell>
        </row>
        <row r="348">
          <cell r="B348" t="str">
            <v>PEGANTE PARA GAS FUERZA MEDIA</v>
          </cell>
          <cell r="C348" t="str">
            <v>un</v>
          </cell>
          <cell r="D348">
            <v>5000</v>
          </cell>
        </row>
        <row r="349">
          <cell r="B349" t="str">
            <v>PELICULA SAN BLASTING</v>
          </cell>
          <cell r="C349" t="str">
            <v>m2</v>
          </cell>
          <cell r="D349">
            <v>20000</v>
          </cell>
        </row>
        <row r="350">
          <cell r="B350" t="str">
            <v>Percha simple - GRIVAL</v>
          </cell>
          <cell r="C350" t="str">
            <v>un</v>
          </cell>
          <cell r="D350">
            <v>40000</v>
          </cell>
        </row>
        <row r="351">
          <cell r="B351" t="str">
            <v>PERFIL ALN 173 DE 6 mts</v>
          </cell>
          <cell r="C351" t="str">
            <v>un</v>
          </cell>
          <cell r="D351">
            <v>40000</v>
          </cell>
        </row>
        <row r="352">
          <cell r="B352" t="str">
            <v>PERFIL ALN 177 DE 6 mts</v>
          </cell>
          <cell r="C352" t="str">
            <v>un</v>
          </cell>
          <cell r="D352">
            <v>25000</v>
          </cell>
        </row>
        <row r="353">
          <cell r="B353" t="str">
            <v>PERFIL ALN 292 DE 6 mts</v>
          </cell>
          <cell r="C353" t="str">
            <v>un</v>
          </cell>
          <cell r="D353">
            <v>75000</v>
          </cell>
        </row>
        <row r="354">
          <cell r="B354" t="str">
            <v>PERFIL ESTRUCTURAL EN C 160*60 1.5mm</v>
          </cell>
          <cell r="C354" t="str">
            <v>kg</v>
          </cell>
          <cell r="D354">
            <v>7000</v>
          </cell>
        </row>
        <row r="355">
          <cell r="B355" t="str">
            <v>PIBOTES, RODACHINES, PARALES, OMEGAS</v>
          </cell>
          <cell r="C355" t="str">
            <v>m2</v>
          </cell>
          <cell r="D355">
            <v>25000</v>
          </cell>
        </row>
        <row r="356">
          <cell r="B356" t="str">
            <v>PIEDRA ESMERIL</v>
          </cell>
          <cell r="C356" t="str">
            <v>un</v>
          </cell>
          <cell r="D356">
            <v>40000</v>
          </cell>
        </row>
        <row r="357">
          <cell r="B357" t="str">
            <v>PIEDRA MEDIA ZONGA</v>
          </cell>
          <cell r="C357" t="str">
            <v>m3</v>
          </cell>
          <cell r="D357">
            <v>35000</v>
          </cell>
        </row>
        <row r="358">
          <cell r="B358" t="str">
            <v>PIEDRA RAJON</v>
          </cell>
          <cell r="C358" t="str">
            <v>m3</v>
          </cell>
          <cell r="D358">
            <v>70000</v>
          </cell>
        </row>
        <row r="359">
          <cell r="B359" t="str">
            <v>PINTURA ACRILTEX</v>
          </cell>
          <cell r="C359" t="str">
            <v>gl</v>
          </cell>
          <cell r="D359">
            <v>94500</v>
          </cell>
        </row>
        <row r="360">
          <cell r="B360" t="str">
            <v>PINTURA Electrostatica (poliester gris )</v>
          </cell>
          <cell r="C360" t="str">
            <v>m2</v>
          </cell>
          <cell r="D360">
            <v>50000</v>
          </cell>
        </row>
        <row r="361">
          <cell r="B361" t="str">
            <v>PINTURA EPOXICA</v>
          </cell>
          <cell r="C361" t="str">
            <v>gl</v>
          </cell>
          <cell r="D361">
            <v>85000</v>
          </cell>
        </row>
        <row r="362">
          <cell r="B362" t="str">
            <v>PINTURA KORAZA</v>
          </cell>
          <cell r="C362" t="str">
            <v>gl</v>
          </cell>
          <cell r="D362">
            <v>60000</v>
          </cell>
        </row>
        <row r="363">
          <cell r="B363" t="str">
            <v>PINTURA BITUMINOSA</v>
          </cell>
          <cell r="C363" t="str">
            <v>gl</v>
          </cell>
          <cell r="D363">
            <v>70000</v>
          </cell>
        </row>
        <row r="364">
          <cell r="B364" t="str">
            <v>PINTURA VINILO TIPO 1</v>
          </cell>
          <cell r="C364" t="str">
            <v>gl</v>
          </cell>
          <cell r="D364">
            <v>60000</v>
          </cell>
        </row>
        <row r="365">
          <cell r="B365" t="str">
            <v>PISO EN CERAMICA DE 30X30</v>
          </cell>
          <cell r="C365" t="str">
            <v>m2</v>
          </cell>
          <cell r="D365">
            <v>28500</v>
          </cell>
        </row>
        <row r="366">
          <cell r="B366" t="str">
            <v>PISO EN MADERA GRANADILLO</v>
          </cell>
          <cell r="C366" t="str">
            <v>m2</v>
          </cell>
          <cell r="D366">
            <v>120000</v>
          </cell>
        </row>
        <row r="367">
          <cell r="B367" t="str">
            <v>PINTURA VINILO TIPO 2</v>
          </cell>
          <cell r="C367" t="str">
            <v>gl</v>
          </cell>
          <cell r="D367">
            <v>40000</v>
          </cell>
        </row>
        <row r="368">
          <cell r="B368" t="str">
            <v>PISO PORCELANATO</v>
          </cell>
          <cell r="C368" t="str">
            <v>m2</v>
          </cell>
          <cell r="D368">
            <v>52500</v>
          </cell>
        </row>
        <row r="369">
          <cell r="B369" t="str">
            <v>Porta rollos - GRIVAL Línea STYLO,</v>
          </cell>
          <cell r="C369" t="str">
            <v>un</v>
          </cell>
          <cell r="D369">
            <v>60000</v>
          </cell>
        </row>
        <row r="370">
          <cell r="B370" t="str">
            <v>PLATINA DE  1/2" * 1/8</v>
          </cell>
          <cell r="C370" t="str">
            <v>un</v>
          </cell>
          <cell r="D370">
            <v>6000</v>
          </cell>
        </row>
        <row r="371">
          <cell r="B371" t="str">
            <v xml:space="preserve">PLATINA DE  3/4" </v>
          </cell>
          <cell r="C371" t="str">
            <v>un</v>
          </cell>
          <cell r="D371">
            <v>7500</v>
          </cell>
        </row>
        <row r="372">
          <cell r="B372" t="str">
            <v>PLATINA DE  3/4" X 1/8"</v>
          </cell>
          <cell r="C372" t="str">
            <v>ml</v>
          </cell>
          <cell r="D372">
            <v>2000</v>
          </cell>
        </row>
        <row r="373">
          <cell r="B373" t="str">
            <v>POLIETILENO No. 4</v>
          </cell>
          <cell r="C373" t="str">
            <v>m2</v>
          </cell>
          <cell r="D373">
            <v>2500</v>
          </cell>
        </row>
        <row r="374">
          <cell r="B374" t="str">
            <v>POLIETILENO No. 6</v>
          </cell>
          <cell r="C374" t="str">
            <v>m2</v>
          </cell>
          <cell r="D374">
            <v>2800</v>
          </cell>
        </row>
        <row r="375">
          <cell r="B375" t="str">
            <v>PRIMER ANTICORROSIVO</v>
          </cell>
          <cell r="C375" t="str">
            <v>gl</v>
          </cell>
          <cell r="D375">
            <v>61700</v>
          </cell>
        </row>
        <row r="376">
          <cell r="B376" t="str">
            <v>PUNTILLA 3/4"</v>
          </cell>
          <cell r="C376" t="str">
            <v>lb</v>
          </cell>
          <cell r="D376">
            <v>2600</v>
          </cell>
        </row>
        <row r="377">
          <cell r="B377" t="str">
            <v>PUNTILLA 1"</v>
          </cell>
          <cell r="C377" t="str">
            <v>lb</v>
          </cell>
          <cell r="D377">
            <v>2600</v>
          </cell>
        </row>
        <row r="378">
          <cell r="B378" t="str">
            <v>PUNTILLA 11/4"</v>
          </cell>
          <cell r="C378" t="str">
            <v>lb</v>
          </cell>
          <cell r="D378">
            <v>2400</v>
          </cell>
        </row>
        <row r="379">
          <cell r="B379" t="str">
            <v>PUNTILLA 11/2"</v>
          </cell>
          <cell r="C379" t="str">
            <v>lb</v>
          </cell>
          <cell r="D379">
            <v>2200</v>
          </cell>
        </row>
        <row r="380">
          <cell r="B380" t="str">
            <v>PUNTILLA 2"</v>
          </cell>
          <cell r="C380" t="str">
            <v>lb</v>
          </cell>
          <cell r="D380">
            <v>2200</v>
          </cell>
        </row>
        <row r="381">
          <cell r="B381" t="str">
            <v>PUNTILLA 21/2"</v>
          </cell>
          <cell r="C381" t="str">
            <v>lb</v>
          </cell>
          <cell r="D381">
            <v>2200</v>
          </cell>
        </row>
        <row r="382">
          <cell r="C382" t="str">
            <v>lb</v>
          </cell>
          <cell r="D382">
            <v>2200</v>
          </cell>
        </row>
        <row r="383">
          <cell r="C383" t="str">
            <v>lb</v>
          </cell>
          <cell r="D383">
            <v>2100</v>
          </cell>
        </row>
        <row r="384">
          <cell r="C384" t="str">
            <v>un</v>
          </cell>
          <cell r="D384">
            <v>5900</v>
          </cell>
        </row>
        <row r="385">
          <cell r="C385" t="str">
            <v>un</v>
          </cell>
          <cell r="D385">
            <v>5900</v>
          </cell>
        </row>
        <row r="386">
          <cell r="B386" t="str">
            <v>RECEBO B-200</v>
          </cell>
          <cell r="C386" t="str">
            <v>m3</v>
          </cell>
          <cell r="D386">
            <v>32000</v>
          </cell>
        </row>
        <row r="387">
          <cell r="B387" t="str">
            <v>RECEBO B-600</v>
          </cell>
          <cell r="C387" t="str">
            <v>m3</v>
          </cell>
          <cell r="D387">
            <v>41500</v>
          </cell>
        </row>
        <row r="388">
          <cell r="B388" t="str">
            <v>RECEBO COMÚN</v>
          </cell>
          <cell r="C388" t="str">
            <v>m3</v>
          </cell>
          <cell r="D388">
            <v>28000</v>
          </cell>
        </row>
        <row r="389">
          <cell r="B389" t="str">
            <v>RECEBO B-400</v>
          </cell>
          <cell r="C389" t="str">
            <v>m3</v>
          </cell>
          <cell r="D389">
            <v>36000</v>
          </cell>
        </row>
        <row r="390">
          <cell r="B390" t="str">
            <v>RED PARA ATERRIZAR SUBESTACION</v>
          </cell>
          <cell r="C390" t="str">
            <v>gl</v>
          </cell>
          <cell r="D390">
            <v>3500000</v>
          </cell>
        </row>
        <row r="391">
          <cell r="B391" t="str">
            <v>RED TRENZADA CABLE 2X2+2</v>
          </cell>
          <cell r="C391" t="str">
            <v>ml</v>
          </cell>
          <cell r="D391">
            <v>13500</v>
          </cell>
        </row>
        <row r="392">
          <cell r="B392" t="str">
            <v>RED TRENZADA CABLE 3x1/0+1/0</v>
          </cell>
          <cell r="C392" t="str">
            <v>ml</v>
          </cell>
          <cell r="D392">
            <v>23500</v>
          </cell>
        </row>
        <row r="393">
          <cell r="B393" t="str">
            <v xml:space="preserve">REFLECTOR DE 250 VATIOS-SODIO ALTA PRESION -220 VOLTIOS-SODIO ALTA </v>
          </cell>
          <cell r="C393" t="str">
            <v>un</v>
          </cell>
          <cell r="D393">
            <v>1450000</v>
          </cell>
        </row>
        <row r="394">
          <cell r="B394" t="str">
            <v>REFLECTOR DE 400 W</v>
          </cell>
          <cell r="C394" t="str">
            <v>un</v>
          </cell>
          <cell r="D394">
            <v>400000</v>
          </cell>
        </row>
        <row r="395">
          <cell r="B395" t="str">
            <v>REGISTRO DE 3/4"</v>
          </cell>
          <cell r="C395" t="str">
            <v>un</v>
          </cell>
          <cell r="D395">
            <v>22500</v>
          </cell>
        </row>
        <row r="396">
          <cell r="B396" t="str">
            <v>REGISTRO DE BOLA 1/2"</v>
          </cell>
          <cell r="C396" t="str">
            <v>un</v>
          </cell>
          <cell r="D396">
            <v>14500</v>
          </cell>
        </row>
        <row r="397">
          <cell r="B397" t="str">
            <v>REGISTRO P.D.  R&amp;W - 2 1/2 " ( de cortina )</v>
          </cell>
          <cell r="C397" t="str">
            <v>un</v>
          </cell>
          <cell r="D397">
            <v>268000</v>
          </cell>
        </row>
        <row r="398">
          <cell r="B398" t="str">
            <v>REGISTRO R&amp;W - 1" ( de cortina ) Ref. 206</v>
          </cell>
          <cell r="C398" t="str">
            <v>un</v>
          </cell>
          <cell r="D398">
            <v>60000</v>
          </cell>
        </row>
        <row r="399">
          <cell r="B399" t="str">
            <v>REGISTRO R&amp;W - 1/2" ( de cortina ) Ref. 206</v>
          </cell>
          <cell r="C399" t="str">
            <v>un</v>
          </cell>
          <cell r="D399">
            <v>35000</v>
          </cell>
        </row>
        <row r="400">
          <cell r="B400" t="str">
            <v>REGISTRO R&amp;W - 3/4" ( de cortina ) Ref. 206</v>
          </cell>
          <cell r="C400" t="str">
            <v>un</v>
          </cell>
          <cell r="D400">
            <v>45000</v>
          </cell>
        </row>
        <row r="401">
          <cell r="B401" t="str">
            <v xml:space="preserve">REJILLA Aluminio 3"x2" </v>
          </cell>
          <cell r="C401" t="str">
            <v>un</v>
          </cell>
          <cell r="D401">
            <v>5900</v>
          </cell>
        </row>
        <row r="402">
          <cell r="B402" t="str">
            <v>REJILLA VENTILACION PLASTICA DE 25X25</v>
          </cell>
          <cell r="C402" t="str">
            <v>un</v>
          </cell>
          <cell r="D402">
            <v>12644</v>
          </cell>
        </row>
        <row r="403">
          <cell r="B403" t="str">
            <v>Rejillas de piso en aluminio de 3x2 con sosco</v>
          </cell>
          <cell r="C403" t="str">
            <v>un</v>
          </cell>
          <cell r="D403">
            <v>5900</v>
          </cell>
        </row>
        <row r="404">
          <cell r="B404" t="str">
            <v>RELLENO ARENA DE PEÑA</v>
          </cell>
          <cell r="C404" t="str">
            <v>m3</v>
          </cell>
          <cell r="D404">
            <v>40000</v>
          </cell>
        </row>
        <row r="405">
          <cell r="B405" t="str">
            <v>Repisa vidrio Baño Línea STYLO</v>
          </cell>
          <cell r="C405" t="str">
            <v>un</v>
          </cell>
          <cell r="D405">
            <v>115000</v>
          </cell>
        </row>
        <row r="406">
          <cell r="B406" t="str">
            <v>REMOVEDOR PVC</v>
          </cell>
          <cell r="C406" t="str">
            <v>un</v>
          </cell>
          <cell r="D406">
            <v>3750</v>
          </cell>
        </row>
        <row r="408">
          <cell r="B408" t="str">
            <v>REPISA ORDINARIO 3 m</v>
          </cell>
          <cell r="C408" t="str">
            <v>un</v>
          </cell>
          <cell r="D408">
            <v>8000</v>
          </cell>
        </row>
        <row r="409">
          <cell r="B409" t="str">
            <v xml:space="preserve">ROCKTOP </v>
          </cell>
          <cell r="C409" t="str">
            <v>kg</v>
          </cell>
          <cell r="D409">
            <v>2500</v>
          </cell>
        </row>
        <row r="410">
          <cell r="B410" t="str">
            <v>SANITARIO LINEA MONTECARLO CON GRIFERIA</v>
          </cell>
          <cell r="C410" t="str">
            <v>un</v>
          </cell>
          <cell r="D410">
            <v>430000</v>
          </cell>
        </row>
        <row r="411">
          <cell r="B411" t="str">
            <v xml:space="preserve">SECCIONADOR TRIPOLAR EN AIRE 400A-17,5 kV DE OPERACIÓN BAJO </v>
          </cell>
          <cell r="C411" t="str">
            <v>un</v>
          </cell>
          <cell r="D411">
            <v>10200000</v>
          </cell>
        </row>
        <row r="412">
          <cell r="B412" t="str">
            <v>SELLADOR</v>
          </cell>
          <cell r="C412" t="str">
            <v>gl</v>
          </cell>
          <cell r="D412">
            <v>18000</v>
          </cell>
        </row>
        <row r="413">
          <cell r="B413" t="str">
            <v>SELLADOR O CERA DE PISO</v>
          </cell>
          <cell r="C413" t="str">
            <v>m2</v>
          </cell>
          <cell r="D413">
            <v>1800</v>
          </cell>
        </row>
        <row r="414">
          <cell r="B414" t="str">
            <v>SELLADOR Y TINTILLA</v>
          </cell>
          <cell r="C414" t="str">
            <v>gl</v>
          </cell>
          <cell r="D414">
            <v>15000</v>
          </cell>
        </row>
        <row r="415">
          <cell r="B415" t="str">
            <v>SENSOR FOTOELECTRICO DETECTOR DE HUMO</v>
          </cell>
          <cell r="C415" t="str">
            <v>un</v>
          </cell>
          <cell r="D415">
            <v>90000</v>
          </cell>
        </row>
        <row r="416">
          <cell r="B416" t="str">
            <v>SIFON LAVAMANOS plastico gerfor GF-580322</v>
          </cell>
          <cell r="C416" t="str">
            <v>un</v>
          </cell>
          <cell r="D416">
            <v>12000</v>
          </cell>
        </row>
        <row r="417">
          <cell r="B417" t="str">
            <v>SIKA 1</v>
          </cell>
          <cell r="C417" t="str">
            <v>kg</v>
          </cell>
          <cell r="D417">
            <v>8500</v>
          </cell>
        </row>
        <row r="418">
          <cell r="B418" t="str">
            <v>SIKADUR 32</v>
          </cell>
          <cell r="C418" t="str">
            <v>kg</v>
          </cell>
          <cell r="D418">
            <v>50000</v>
          </cell>
        </row>
        <row r="419">
          <cell r="B419" t="str">
            <v xml:space="preserve">SIKAFLEX-1a cartu </v>
          </cell>
          <cell r="C419" t="str">
            <v>un</v>
          </cell>
          <cell r="D419">
            <v>25000</v>
          </cell>
        </row>
        <row r="420">
          <cell r="B420" t="str">
            <v>SILICONA</v>
          </cell>
          <cell r="C420" t="str">
            <v>un</v>
          </cell>
          <cell r="D420">
            <v>15000</v>
          </cell>
        </row>
        <row r="421">
          <cell r="B421" t="str">
            <v>SISTEMA DESINFECCION AGUA TRATADA</v>
          </cell>
          <cell r="C421" t="str">
            <v>un</v>
          </cell>
          <cell r="D421">
            <v>3800000</v>
          </cell>
        </row>
        <row r="422">
          <cell r="B422" t="str">
            <v>SISTEMA CONTROL ELECTRICO TODO INCLUIDO PARA LA PLANTA TRATAMIENTO</v>
          </cell>
          <cell r="C422" t="str">
            <v>un</v>
          </cell>
          <cell r="D422">
            <v>13000000</v>
          </cell>
        </row>
        <row r="423">
          <cell r="B423" t="str">
            <v>SOLDADOR PVC 1/4</v>
          </cell>
          <cell r="C423" t="str">
            <v>un</v>
          </cell>
          <cell r="D423">
            <v>45000</v>
          </cell>
        </row>
        <row r="424">
          <cell r="B424" t="str">
            <v xml:space="preserve">SOLDADURA E - 70  </v>
          </cell>
          <cell r="C424" t="str">
            <v>kg</v>
          </cell>
          <cell r="D424">
            <v>7500</v>
          </cell>
        </row>
        <row r="425">
          <cell r="B425" t="str">
            <v>SOLDADURA ESTAÑO</v>
          </cell>
          <cell r="C425" t="str">
            <v>un</v>
          </cell>
          <cell r="D425">
            <v>35000</v>
          </cell>
        </row>
        <row r="426">
          <cell r="B426" t="str">
            <v>SOLDADURA EXOTERMICA TIPO CADWELD o SIMILAR  de 90 GRAMOS</v>
          </cell>
          <cell r="C426" t="str">
            <v>un</v>
          </cell>
          <cell r="D426">
            <v>17000</v>
          </cell>
        </row>
        <row r="427">
          <cell r="B427" t="str">
            <v>SOPORTE PARA TUBERIA DE 4"</v>
          </cell>
          <cell r="C427" t="str">
            <v>un</v>
          </cell>
          <cell r="D427">
            <v>17980</v>
          </cell>
        </row>
        <row r="428">
          <cell r="B428" t="str">
            <v>SOPORTES LAVAMANOS</v>
          </cell>
          <cell r="C428" t="str">
            <v>jg</v>
          </cell>
          <cell r="D428">
            <v>2500</v>
          </cell>
        </row>
        <row r="429">
          <cell r="B429" t="str">
            <v>SOPORTES ORINAL</v>
          </cell>
          <cell r="C429" t="str">
            <v>un</v>
          </cell>
          <cell r="D429">
            <v>8500</v>
          </cell>
        </row>
        <row r="430">
          <cell r="B430" t="str">
            <v>TABLA BURRA ORDINARIA 0.20 DE 3.0 MTS</v>
          </cell>
          <cell r="C430" t="str">
            <v>un</v>
          </cell>
          <cell r="D430">
            <v>13500</v>
          </cell>
        </row>
        <row r="431">
          <cell r="B431" t="str">
            <v>TABLA BURRA ORDINARIA 0.30 DE 3.0 MTS</v>
          </cell>
          <cell r="C431" t="str">
            <v>un</v>
          </cell>
          <cell r="D431">
            <v>16000</v>
          </cell>
        </row>
        <row r="432">
          <cell r="B432" t="str">
            <v>TABLA CHAPA ORDINARIA 0.25 DE 3.0 MTS</v>
          </cell>
          <cell r="C432" t="str">
            <v>un</v>
          </cell>
          <cell r="D432">
            <v>13000</v>
          </cell>
        </row>
        <row r="433">
          <cell r="B433" t="str">
            <v>TABLA CHAPA ORDINARIA 0.20 DE 3.0 MTS</v>
          </cell>
          <cell r="C433" t="str">
            <v>un</v>
          </cell>
          <cell r="D433">
            <v>10000</v>
          </cell>
        </row>
        <row r="434">
          <cell r="B434" t="str">
            <v>TABLA CHAPA ORDINARIA 0.15 DE 3.0 MTS</v>
          </cell>
          <cell r="C434" t="str">
            <v>un</v>
          </cell>
          <cell r="D434">
            <v>7500</v>
          </cell>
        </row>
        <row r="435">
          <cell r="C435" t="str">
            <v>un</v>
          </cell>
        </row>
        <row r="436">
          <cell r="C436" t="str">
            <v>ml</v>
          </cell>
        </row>
        <row r="437">
          <cell r="B437" t="str">
            <v xml:space="preserve">TABLERO DE 12 CIRCUITOS CON ESPACIO PARA TOTALIZADOR, PUERTA Y CHAPA  -208 V - 3F5H-60HZ </v>
          </cell>
          <cell r="C437" t="str">
            <v>un</v>
          </cell>
        </row>
        <row r="438">
          <cell r="B438" t="str">
            <v>TABLERO DE 12 CTOS</v>
          </cell>
          <cell r="C438" t="str">
            <v>un</v>
          </cell>
          <cell r="D438">
            <v>165000</v>
          </cell>
        </row>
        <row r="439">
          <cell r="B439" t="str">
            <v>TABLERO 24 CIRCUITOS, PUERTA Y CHAPA, ESP TOTALIZADOR</v>
          </cell>
          <cell r="C439" t="str">
            <v>un</v>
          </cell>
          <cell r="D439">
            <v>225000</v>
          </cell>
        </row>
        <row r="440">
          <cell r="B440" t="str">
            <v xml:space="preserve">TABLERO 36 CIRCUITOS, PUERTA Y CHAPA, ESP TOTALIZADOR  </v>
          </cell>
          <cell r="C440" t="str">
            <v>un</v>
          </cell>
          <cell r="D440">
            <v>420000</v>
          </cell>
        </row>
        <row r="441">
          <cell r="B441" t="str">
            <v>TABLERO TRIFASICO DE 6 CIRCUITOS</v>
          </cell>
          <cell r="C441" t="str">
            <v>un</v>
          </cell>
          <cell r="D441">
            <v>89800</v>
          </cell>
        </row>
        <row r="442">
          <cell r="B442" t="str">
            <v>TABLETA GRES DE 25X25</v>
          </cell>
          <cell r="C442" t="str">
            <v>m2</v>
          </cell>
          <cell r="D442">
            <v>12500</v>
          </cell>
        </row>
        <row r="443">
          <cell r="B443" t="str">
            <v>TABLEX, LISTONES, PALOS</v>
          </cell>
          <cell r="C443" t="str">
            <v>m2</v>
          </cell>
          <cell r="D443">
            <v>250000</v>
          </cell>
        </row>
        <row r="444">
          <cell r="B444" t="str">
            <v>TABLÓN DE GRES  25X25</v>
          </cell>
          <cell r="C444" t="str">
            <v>m2</v>
          </cell>
          <cell r="D444">
            <v>26000</v>
          </cell>
        </row>
        <row r="445">
          <cell r="B445" t="str">
            <v>TABLON DE GRESS DE 33X33</v>
          </cell>
          <cell r="C445" t="str">
            <v>m2</v>
          </cell>
          <cell r="D445">
            <v>30000</v>
          </cell>
        </row>
        <row r="446">
          <cell r="B446" t="str">
            <v>TANQUE COLEMPAQUES 500 LT (incluye tapa y accesorios)</v>
          </cell>
          <cell r="C446" t="str">
            <v>ml</v>
          </cell>
          <cell r="D446">
            <v>185000</v>
          </cell>
        </row>
        <row r="447">
          <cell r="B447" t="str">
            <v>TABLERO MELAMINICO DE 1.83X2.44</v>
          </cell>
          <cell r="C447" t="str">
            <v>un</v>
          </cell>
          <cell r="D447">
            <v>125000</v>
          </cell>
        </row>
        <row r="448">
          <cell r="B448" t="str">
            <v>TABLERO EN AMARILLO</v>
          </cell>
          <cell r="C448" t="str">
            <v>m2</v>
          </cell>
          <cell r="D448">
            <v>180000</v>
          </cell>
        </row>
        <row r="449">
          <cell r="B449" t="str">
            <v>TAPA CAJA INSP. 60 x 60</v>
          </cell>
          <cell r="C449" t="str">
            <v>un</v>
          </cell>
          <cell r="D449">
            <v>8000</v>
          </cell>
        </row>
        <row r="450">
          <cell r="B450" t="str">
            <v>TABLETA MARMOL</v>
          </cell>
          <cell r="C450" t="str">
            <v>m2</v>
          </cell>
          <cell r="D450">
            <v>80000</v>
          </cell>
        </row>
        <row r="451">
          <cell r="B451" t="str">
            <v>TAPA CIEGA CON IMPACTO GALVANIZADA CUADRADA 4X4"</v>
          </cell>
          <cell r="C451" t="str">
            <v>un</v>
          </cell>
          <cell r="D451">
            <v>2500</v>
          </cell>
        </row>
        <row r="452">
          <cell r="B452" t="str">
            <v>TAPA EN CONCRETO (4000 PSI)</v>
          </cell>
          <cell r="C452" t="str">
            <v>un</v>
          </cell>
          <cell r="D452">
            <v>65000</v>
          </cell>
        </row>
        <row r="453">
          <cell r="B453" t="str">
            <v>TAPA EN CONCRETO CAJA CS 276</v>
          </cell>
          <cell r="C453" t="str">
            <v>un</v>
          </cell>
          <cell r="D453">
            <v>250000</v>
          </cell>
        </row>
        <row r="454">
          <cell r="B454" t="str">
            <v>TAPA REGISTRO PLASTICO DE 20X20</v>
          </cell>
          <cell r="C454" t="str">
            <v>un</v>
          </cell>
          <cell r="D454">
            <v>10500</v>
          </cell>
        </row>
        <row r="455">
          <cell r="B455" t="str">
            <v>TAPON GALVANIZADO MACHO DE 2"</v>
          </cell>
          <cell r="C455" t="str">
            <v>un</v>
          </cell>
          <cell r="D455">
            <v>14500</v>
          </cell>
        </row>
        <row r="456">
          <cell r="B456" t="str">
            <v>TAPÓN SOLDADO PRESIÓN 1 1/2"</v>
          </cell>
          <cell r="C456" t="str">
            <v>un</v>
          </cell>
          <cell r="D456">
            <v>3500</v>
          </cell>
        </row>
        <row r="457">
          <cell r="B457" t="str">
            <v>TAZA Institucional blanca Mancesa IC-IP41</v>
          </cell>
          <cell r="C457" t="str">
            <v>un</v>
          </cell>
          <cell r="D457">
            <v>90000</v>
          </cell>
        </row>
        <row r="458">
          <cell r="B458" t="str">
            <v>TEE EN ALUMINIO BLANCO</v>
          </cell>
          <cell r="C458" t="str">
            <v>un</v>
          </cell>
          <cell r="D458">
            <v>6500</v>
          </cell>
        </row>
        <row r="459">
          <cell r="B459" t="str">
            <v>TEE GALVANIZADA DE 4"</v>
          </cell>
          <cell r="C459" t="str">
            <v>un</v>
          </cell>
          <cell r="D459">
            <v>56260</v>
          </cell>
        </row>
        <row r="460">
          <cell r="B460" t="str">
            <v>TEE PRESIÓN  1 1/2" Pavco</v>
          </cell>
          <cell r="C460" t="str">
            <v>un</v>
          </cell>
          <cell r="D460">
            <v>6000</v>
          </cell>
        </row>
        <row r="461">
          <cell r="B461" t="str">
            <v>TEE PRESIÓN SOLDADA  1"</v>
          </cell>
          <cell r="C461" t="str">
            <v>un</v>
          </cell>
          <cell r="D461">
            <v>6500</v>
          </cell>
        </row>
        <row r="462">
          <cell r="B462" t="str">
            <v>TEJA DE ZINC 0.80X2.43</v>
          </cell>
          <cell r="C462" t="str">
            <v>un</v>
          </cell>
          <cell r="D462">
            <v>15400</v>
          </cell>
        </row>
        <row r="463">
          <cell r="B463" t="str">
            <v>TEJA CANALETA 90</v>
          </cell>
          <cell r="C463" t="str">
            <v>m2</v>
          </cell>
          <cell r="D463">
            <v>25000</v>
          </cell>
        </row>
        <row r="464">
          <cell r="B464" t="str">
            <v xml:space="preserve">TEJA DE BARRO </v>
          </cell>
          <cell r="C464" t="str">
            <v>un</v>
          </cell>
          <cell r="D464">
            <v>1850</v>
          </cell>
        </row>
        <row r="465">
          <cell r="B465" t="str">
            <v>TEJA ONDULADA ETERNIT No. 6 DE 0.92X1.83</v>
          </cell>
          <cell r="C465" t="str">
            <v>un</v>
          </cell>
          <cell r="D465">
            <v>26500</v>
          </cell>
        </row>
        <row r="466">
          <cell r="B466" t="str">
            <v>TEJA THERMOACUSTICA TRAPEZOIDAL  2.44X0.82</v>
          </cell>
          <cell r="C466" t="str">
            <v>un</v>
          </cell>
          <cell r="D466">
            <v>48000</v>
          </cell>
        </row>
        <row r="467">
          <cell r="B467" t="str">
            <v>TELA ASFALTICA DE 15 M2</v>
          </cell>
          <cell r="C467" t="str">
            <v>rollo</v>
          </cell>
          <cell r="D467">
            <v>30000</v>
          </cell>
        </row>
        <row r="468">
          <cell r="B468" t="str">
            <v>TELA VERDE CERRAMIENTO</v>
          </cell>
          <cell r="C468" t="str">
            <v>ML</v>
          </cell>
          <cell r="D468">
            <v>2500</v>
          </cell>
        </row>
        <row r="469">
          <cell r="B469" t="str">
            <v>TERMINAL PONCHAR 2 AWG</v>
          </cell>
          <cell r="C469" t="str">
            <v>un</v>
          </cell>
          <cell r="D469">
            <v>5900</v>
          </cell>
        </row>
        <row r="470">
          <cell r="B470" t="str">
            <v xml:space="preserve">Terminal preformado uso interior 15 kV para cable 2 – 3/0 AWG; </v>
          </cell>
          <cell r="C470" t="str">
            <v>juego</v>
          </cell>
          <cell r="D470">
            <v>220000</v>
          </cell>
        </row>
        <row r="471">
          <cell r="B471" t="str">
            <v>Terminal Soldar/Ponchar barril largo para cable 8. Calidad 3M, Panduit o superior.</v>
          </cell>
          <cell r="C471" t="str">
            <v>gb</v>
          </cell>
          <cell r="D471">
            <v>12500</v>
          </cell>
        </row>
        <row r="472">
          <cell r="B472" t="str">
            <v>Thiner</v>
          </cell>
          <cell r="C472" t="str">
            <v>gl</v>
          </cell>
          <cell r="D472">
            <v>20000</v>
          </cell>
        </row>
        <row r="473">
          <cell r="B473" t="str">
            <v>TIERRA NEGRA</v>
          </cell>
          <cell r="C473" t="str">
            <v>m3</v>
          </cell>
          <cell r="D473">
            <v>45000</v>
          </cell>
        </row>
        <row r="474">
          <cell r="B474" t="str">
            <v>TINTILLA</v>
          </cell>
          <cell r="C474" t="str">
            <v>1/4 gl</v>
          </cell>
          <cell r="D474">
            <v>24000</v>
          </cell>
        </row>
        <row r="475">
          <cell r="B475" t="str">
            <v>TIRAS ALISTADO 3 x 3 x 3</v>
          </cell>
          <cell r="C475" t="str">
            <v>ml</v>
          </cell>
          <cell r="D475">
            <v>2500</v>
          </cell>
        </row>
        <row r="476">
          <cell r="B476" t="str">
            <v>TOMA BIFASICA 2P+T</v>
          </cell>
          <cell r="C476" t="str">
            <v>un</v>
          </cell>
          <cell r="D476">
            <v>9500</v>
          </cell>
        </row>
        <row r="477">
          <cell r="B477" t="str">
            <v>TOMA CORRIENTE DOBLE</v>
          </cell>
          <cell r="C477" t="str">
            <v>un</v>
          </cell>
          <cell r="D477">
            <v>3500</v>
          </cell>
        </row>
        <row r="478">
          <cell r="B478" t="str">
            <v>TOMA COAXIAL PARA TV TIPO AMERICANA</v>
          </cell>
          <cell r="C478" t="str">
            <v>un</v>
          </cell>
          <cell r="D478">
            <v>5000</v>
          </cell>
        </row>
        <row r="479">
          <cell r="B479" t="str">
            <v>TOMA TV+TELEFONO</v>
          </cell>
          <cell r="C479" t="str">
            <v>un</v>
          </cell>
          <cell r="D479">
            <v>18000</v>
          </cell>
        </row>
        <row r="480">
          <cell r="B480" t="str">
            <v>Toallero Barra - GRIVAL Línea STYLO,</v>
          </cell>
          <cell r="C480" t="str">
            <v>un</v>
          </cell>
          <cell r="D480">
            <v>70000</v>
          </cell>
        </row>
        <row r="481">
          <cell r="B481" t="str">
            <v>Toallero Argolla - GRIVAL Línea STYLO</v>
          </cell>
          <cell r="C481" t="str">
            <v>un</v>
          </cell>
          <cell r="D481">
            <v>60000</v>
          </cell>
        </row>
        <row r="482">
          <cell r="B482" t="str">
            <v xml:space="preserve">TORNILLOS </v>
          </cell>
          <cell r="C482" t="str">
            <v>un</v>
          </cell>
          <cell r="D482">
            <v>100</v>
          </cell>
        </row>
        <row r="483">
          <cell r="B483" t="str">
            <v>TRIPLEX FORMALETA DE 1.22X2.44 DE 18 mm</v>
          </cell>
          <cell r="C483" t="str">
            <v>un</v>
          </cell>
          <cell r="D483">
            <v>85000</v>
          </cell>
        </row>
        <row r="484">
          <cell r="C484" t="str">
            <v>un</v>
          </cell>
          <cell r="D484">
            <v>20000</v>
          </cell>
        </row>
        <row r="485">
          <cell r="C485" t="str">
            <v>un</v>
          </cell>
          <cell r="D485">
            <v>19500000</v>
          </cell>
        </row>
        <row r="486">
          <cell r="C486" t="str">
            <v>gl</v>
          </cell>
          <cell r="D486">
            <v>2500000</v>
          </cell>
        </row>
        <row r="487">
          <cell r="C487" t="str">
            <v>un</v>
          </cell>
          <cell r="D487">
            <v>350000</v>
          </cell>
        </row>
        <row r="488">
          <cell r="C488" t="str">
            <v>un</v>
          </cell>
          <cell r="D488">
            <v>715000</v>
          </cell>
        </row>
        <row r="489">
          <cell r="C489" t="str">
            <v>un</v>
          </cell>
          <cell r="D489">
            <v>590000</v>
          </cell>
        </row>
        <row r="490">
          <cell r="B490" t="str">
            <v>TUBERIA GALVANIZADA 2"</v>
          </cell>
          <cell r="C490" t="str">
            <v>ml</v>
          </cell>
          <cell r="D490">
            <v>8600</v>
          </cell>
        </row>
        <row r="491">
          <cell r="B491" t="str">
            <v>TUBERIA GALVANIZADA 2" DE 0.098</v>
          </cell>
          <cell r="C491" t="str">
            <v>un</v>
          </cell>
          <cell r="D491">
            <v>83900</v>
          </cell>
        </row>
        <row r="492">
          <cell r="B492" t="str">
            <v>TUBERIA HIERRO DUCTIL DE 4" ESP 3.2 mm</v>
          </cell>
          <cell r="C492" t="str">
            <v>ml</v>
          </cell>
          <cell r="D492">
            <v>100000</v>
          </cell>
        </row>
        <row r="493">
          <cell r="B493" t="str">
            <v>TUBERIAS, VALVULAS, ACCESORIOS</v>
          </cell>
          <cell r="C493" t="str">
            <v>global</v>
          </cell>
          <cell r="D493">
            <v>5000000</v>
          </cell>
        </row>
        <row r="494">
          <cell r="B494" t="str">
            <v>TUBERIA NOVAFORT DE 6"</v>
          </cell>
          <cell r="C494" t="str">
            <v>un</v>
          </cell>
          <cell r="D494">
            <v>220000</v>
          </cell>
        </row>
        <row r="495">
          <cell r="B495" t="str">
            <v>TUBERIA PEX AL PEX 1/2"</v>
          </cell>
          <cell r="C495" t="str">
            <v>ml</v>
          </cell>
          <cell r="D495">
            <v>2500</v>
          </cell>
        </row>
        <row r="496">
          <cell r="B496" t="str">
            <v>TUBERIA CONDUCCION AGUAS RESIDUALES INC ACCESORIOS</v>
          </cell>
          <cell r="C496" t="str">
            <v>ml</v>
          </cell>
          <cell r="D496">
            <v>50000</v>
          </cell>
        </row>
        <row r="497">
          <cell r="B497" t="str">
            <v>TUBERIA RECTANGULAR DE 3 1/2" X 1 1/2"</v>
          </cell>
          <cell r="C497" t="str">
            <v>un</v>
          </cell>
          <cell r="D497">
            <v>92000</v>
          </cell>
        </row>
        <row r="498">
          <cell r="B498" t="str">
            <v>TUBO 4X8 EN COLD ROLLED CAL 18</v>
          </cell>
          <cell r="C498" t="str">
            <v>ml</v>
          </cell>
          <cell r="D498">
            <v>28500</v>
          </cell>
        </row>
        <row r="499">
          <cell r="B499" t="str">
            <v>TUBO alcantarillado  PVC   160 MM ( 6" ) Pavco</v>
          </cell>
          <cell r="C499" t="str">
            <v>ml</v>
          </cell>
          <cell r="D499">
            <v>22000</v>
          </cell>
        </row>
        <row r="500">
          <cell r="B500" t="str">
            <v>TUBO alcantarillado  PVC   160 MM ( 8" ) Pavco</v>
          </cell>
          <cell r="C500" t="str">
            <v>ml</v>
          </cell>
          <cell r="D500">
            <v>32000</v>
          </cell>
        </row>
        <row r="501">
          <cell r="B501" t="str">
            <v>TUBO alcantarillado PVC   110MM  ( 4") Pavco</v>
          </cell>
          <cell r="C501" t="str">
            <v>ml</v>
          </cell>
          <cell r="D501">
            <v>15000</v>
          </cell>
        </row>
        <row r="502">
          <cell r="B502" t="str">
            <v>TUBO alcantarillado PVC   250MM  ( 10") Pavco</v>
          </cell>
          <cell r="C502" t="str">
            <v>ml</v>
          </cell>
          <cell r="D502">
            <v>55000</v>
          </cell>
        </row>
        <row r="503">
          <cell r="B503" t="str">
            <v>TUBO CONDUIT EMT 1"</v>
          </cell>
          <cell r="C503" t="str">
            <v>ml</v>
          </cell>
          <cell r="D503">
            <v>6500</v>
          </cell>
        </row>
        <row r="504">
          <cell r="B504" t="str">
            <v>TUBO CONDUIT EMT1/2"</v>
          </cell>
          <cell r="C504" t="str">
            <v>ml</v>
          </cell>
          <cell r="D504">
            <v>1500</v>
          </cell>
        </row>
        <row r="505">
          <cell r="B505" t="str">
            <v>TUBO CONDUIT GALVANIZADO PESADO 1" CON UNIÓN</v>
          </cell>
          <cell r="C505" t="str">
            <v>ml</v>
          </cell>
          <cell r="D505">
            <v>9500</v>
          </cell>
        </row>
        <row r="506">
          <cell r="B506" t="str">
            <v>TUBO CONDUIT PVC 1"  3m</v>
          </cell>
          <cell r="C506" t="str">
            <v>un</v>
          </cell>
          <cell r="D506">
            <v>5500</v>
          </cell>
        </row>
        <row r="507">
          <cell r="B507" t="str">
            <v>TUBO CONDUIT PVC 1/2" 3m</v>
          </cell>
          <cell r="C507" t="str">
            <v>un</v>
          </cell>
          <cell r="D507">
            <v>2500</v>
          </cell>
        </row>
        <row r="508">
          <cell r="B508" t="str">
            <v>TUBO CONDUIT PVC 3/4" 3m</v>
          </cell>
          <cell r="C508" t="str">
            <v>un</v>
          </cell>
          <cell r="D508">
            <v>3500</v>
          </cell>
        </row>
        <row r="509">
          <cell r="B509" t="str">
            <v>TUBO CUADRADO DE 1 1/2" x 1 1/2"</v>
          </cell>
          <cell r="C509" t="str">
            <v>un</v>
          </cell>
          <cell r="D509">
            <v>25000</v>
          </cell>
        </row>
        <row r="510">
          <cell r="B510" t="str">
            <v>TUBO CPVC 1/2" DE 3 M</v>
          </cell>
          <cell r="C510" t="str">
            <v>un</v>
          </cell>
          <cell r="D510">
            <v>9000</v>
          </cell>
        </row>
        <row r="511">
          <cell r="B511" t="str">
            <v>TUBO GALVANIZADO 2"  2.0mm</v>
          </cell>
          <cell r="C511" t="str">
            <v>ml</v>
          </cell>
          <cell r="D511">
            <v>18500</v>
          </cell>
        </row>
        <row r="512">
          <cell r="B512" t="str">
            <v>TUBO GALVANIZADO 3"  2.0mm</v>
          </cell>
          <cell r="C512" t="str">
            <v>ml</v>
          </cell>
          <cell r="D512">
            <v>60000</v>
          </cell>
        </row>
        <row r="513">
          <cell r="B513" t="str">
            <v xml:space="preserve">TUBO GALVANIZADO 3/4"  </v>
          </cell>
          <cell r="C513" t="str">
            <v>ml</v>
          </cell>
          <cell r="D513">
            <v>10500</v>
          </cell>
        </row>
        <row r="514">
          <cell r="B514" t="str">
            <v>TUBO NOVAFOR DE 4" PERFORADO</v>
          </cell>
          <cell r="C514" t="str">
            <v>ml</v>
          </cell>
          <cell r="D514">
            <v>14000</v>
          </cell>
        </row>
        <row r="515">
          <cell r="B515" t="str">
            <v>TUBO NOVAFORT 6"</v>
          </cell>
          <cell r="C515" t="str">
            <v>un</v>
          </cell>
          <cell r="D515">
            <v>32000</v>
          </cell>
        </row>
        <row r="516">
          <cell r="B516" t="str">
            <v>TUBO PRESIÓN /13.5 PVC  1/2" Pavco</v>
          </cell>
          <cell r="C516" t="str">
            <v>un</v>
          </cell>
          <cell r="D516">
            <v>10500</v>
          </cell>
        </row>
        <row r="517">
          <cell r="B517" t="str">
            <v>TUBO PRESIÓN /13.5 PVC  3/4" Pavco</v>
          </cell>
          <cell r="C517" t="str">
            <v>ml</v>
          </cell>
          <cell r="D517">
            <v>12000</v>
          </cell>
        </row>
        <row r="518">
          <cell r="B518" t="str">
            <v>TUBO PRESIÓN /21 PVC    1"</v>
          </cell>
          <cell r="C518" t="str">
            <v>ml</v>
          </cell>
          <cell r="D518">
            <v>5250</v>
          </cell>
        </row>
        <row r="519">
          <cell r="B519" t="str">
            <v>TUBO PRESIÓN /21 PVC    2" Pavco</v>
          </cell>
          <cell r="C519" t="str">
            <v>ml</v>
          </cell>
          <cell r="D519">
            <v>12500</v>
          </cell>
        </row>
        <row r="520">
          <cell r="B520" t="str">
            <v>TUBO PRESIÓN /21 PVC  1 1/2" Pavco</v>
          </cell>
          <cell r="C520" t="str">
            <v>ml</v>
          </cell>
          <cell r="D520">
            <v>9500</v>
          </cell>
        </row>
        <row r="521">
          <cell r="B521" t="str">
            <v>TUBO PRESIÓN /21 PVC  1 1/4" Pavco</v>
          </cell>
          <cell r="C521" t="str">
            <v>ml</v>
          </cell>
          <cell r="D521">
            <v>8500</v>
          </cell>
        </row>
        <row r="522">
          <cell r="B522" t="str">
            <v>TUBO PVC A.LL. 2" DE  6 MTS</v>
          </cell>
          <cell r="C522" t="str">
            <v>un</v>
          </cell>
          <cell r="D522">
            <v>25000</v>
          </cell>
        </row>
        <row r="523">
          <cell r="B523" t="str">
            <v>TUBO PVC A.LL. 3" DE  6 MTS</v>
          </cell>
          <cell r="C523" t="str">
            <v>un</v>
          </cell>
          <cell r="D523">
            <v>40500</v>
          </cell>
        </row>
        <row r="524">
          <cell r="B524" t="str">
            <v>TUBO PVC A.LL. 4" DE 6 MTS</v>
          </cell>
          <cell r="C524" t="str">
            <v>un</v>
          </cell>
          <cell r="D524">
            <v>65100</v>
          </cell>
        </row>
        <row r="525">
          <cell r="B525" t="str">
            <v>TUBO PVC SANITARIO 2" DE 6 MTS</v>
          </cell>
          <cell r="C525" t="str">
            <v>un</v>
          </cell>
          <cell r="D525">
            <v>40000</v>
          </cell>
        </row>
        <row r="526">
          <cell r="B526" t="str">
            <v>TUBO PVC SANITARIO 3" DE 6 MTS</v>
          </cell>
          <cell r="C526" t="str">
            <v>un</v>
          </cell>
          <cell r="D526">
            <v>55000</v>
          </cell>
        </row>
        <row r="527">
          <cell r="B527" t="str">
            <v>TUBO PVC SANITARIO 4" DE 6 MTS</v>
          </cell>
          <cell r="C527" t="str">
            <v>un</v>
          </cell>
          <cell r="D527">
            <v>80000</v>
          </cell>
        </row>
        <row r="528">
          <cell r="B528" t="str">
            <v>TUBOS PVC DB 1"</v>
          </cell>
          <cell r="C528" t="str">
            <v>ml</v>
          </cell>
          <cell r="D528">
            <v>8500</v>
          </cell>
        </row>
        <row r="529">
          <cell r="B529" t="str">
            <v xml:space="preserve">UNION  GALVANIZADA 2 1/2" </v>
          </cell>
          <cell r="C529" t="str">
            <v>un</v>
          </cell>
          <cell r="D529">
            <v>18000</v>
          </cell>
        </row>
        <row r="530">
          <cell r="B530" t="str">
            <v>UNIÓN alcantarillado PVC  110MM ( 4" ) Pavco</v>
          </cell>
          <cell r="C530" t="str">
            <v>un</v>
          </cell>
          <cell r="D530">
            <v>12000</v>
          </cell>
        </row>
        <row r="531">
          <cell r="B531" t="str">
            <v>UNIÓN alcantarillado PVC 160MM  ( 6") Pavco</v>
          </cell>
          <cell r="C531" t="str">
            <v>un</v>
          </cell>
          <cell r="D531">
            <v>17000</v>
          </cell>
        </row>
        <row r="532">
          <cell r="B532" t="str">
            <v>UNIÓN alcantarillado PVC 160MM  ( 8") Pavco</v>
          </cell>
          <cell r="C532" t="str">
            <v>un</v>
          </cell>
          <cell r="D532">
            <v>25000</v>
          </cell>
        </row>
        <row r="533">
          <cell r="B533" t="str">
            <v>UNIÓN alcantarillado PVC 250MM  ( 10") Pavco</v>
          </cell>
          <cell r="C533" t="str">
            <v>un</v>
          </cell>
          <cell r="D533">
            <v>45000</v>
          </cell>
        </row>
        <row r="534">
          <cell r="B534" t="str">
            <v>UNIÓN GALVANIZADA      3"</v>
          </cell>
          <cell r="C534" t="str">
            <v>un</v>
          </cell>
          <cell r="D534">
            <v>45000</v>
          </cell>
        </row>
        <row r="535">
          <cell r="B535" t="str">
            <v>UNION GALVANIZADA DE 1/2"</v>
          </cell>
          <cell r="C535" t="str">
            <v>un</v>
          </cell>
          <cell r="D535">
            <v>1500</v>
          </cell>
        </row>
        <row r="536">
          <cell r="B536" t="str">
            <v>UNION GALVANIZADA DE 4" SH 40</v>
          </cell>
          <cell r="C536" t="str">
            <v>un</v>
          </cell>
          <cell r="D536">
            <v>34800</v>
          </cell>
        </row>
        <row r="537">
          <cell r="B537" t="str">
            <v>UNIÓN SANITARIA  2" Pavco</v>
          </cell>
          <cell r="C537" t="str">
            <v>un</v>
          </cell>
          <cell r="D537">
            <v>12500</v>
          </cell>
        </row>
        <row r="538">
          <cell r="B538" t="str">
            <v>UNIÓN SANITARIA 4" Pavco</v>
          </cell>
          <cell r="C538" t="str">
            <v>un</v>
          </cell>
          <cell r="D538">
            <v>17500</v>
          </cell>
        </row>
        <row r="539">
          <cell r="B539" t="str">
            <v>UNIÓN SANITARIA 6" Pavco</v>
          </cell>
          <cell r="C539" t="str">
            <v>un</v>
          </cell>
          <cell r="D539">
            <v>22000</v>
          </cell>
        </row>
        <row r="540">
          <cell r="B540" t="str">
            <v>UNIVERSAL GALVANIZADA 3/4"</v>
          </cell>
          <cell r="C540" t="str">
            <v>un</v>
          </cell>
          <cell r="D540">
            <v>4000</v>
          </cell>
        </row>
        <row r="541">
          <cell r="B541" t="str">
            <v xml:space="preserve">VALVULA BETA COMPUERTA ELASTICA 4" </v>
          </cell>
          <cell r="C541" t="str">
            <v>un</v>
          </cell>
          <cell r="D541">
            <v>755000</v>
          </cell>
        </row>
        <row r="542">
          <cell r="B542" t="str">
            <v>VALVULA DE CHEQUE OPERACIÓN HORIZONTAL 4" EXT BRIDADO</v>
          </cell>
          <cell r="C542" t="str">
            <v>un</v>
          </cell>
          <cell r="D542">
            <v>650000</v>
          </cell>
        </row>
        <row r="543">
          <cell r="B543" t="str">
            <v>VALVULA DE CIERRE RAPIDO DE 4"</v>
          </cell>
          <cell r="C543" t="str">
            <v>un</v>
          </cell>
          <cell r="D543">
            <v>700000</v>
          </cell>
        </row>
        <row r="544">
          <cell r="B544" t="str">
            <v>VALVULA DE COMPUERTA  VASTAGO NO ASCENTE EXTREMO BRIDA</v>
          </cell>
          <cell r="C544" t="str">
            <v>un</v>
          </cell>
          <cell r="D544">
            <v>475000</v>
          </cell>
        </row>
        <row r="545">
          <cell r="B545" t="str">
            <v>VALVULA Descarga sanitario DO-01051300</v>
          </cell>
          <cell r="C545" t="str">
            <v>un</v>
          </cell>
          <cell r="D545">
            <v>115000</v>
          </cell>
        </row>
        <row r="546">
          <cell r="B546" t="str">
            <v>VARA DE CLAVO</v>
          </cell>
          <cell r="C546" t="str">
            <v>ml</v>
          </cell>
          <cell r="D546">
            <v>3500</v>
          </cell>
        </row>
        <row r="547">
          <cell r="B547" t="str">
            <v>VARILLA CORRUGADA DE 1/2" DE 12 MTS</v>
          </cell>
          <cell r="C547" t="str">
            <v>un</v>
          </cell>
          <cell r="D547">
            <v>19488</v>
          </cell>
        </row>
        <row r="548">
          <cell r="B548" t="str">
            <v>VARILLA CORRUGADA DE 1/2" DE 6 MTS</v>
          </cell>
          <cell r="C548" t="str">
            <v>un</v>
          </cell>
          <cell r="D548">
            <v>9300</v>
          </cell>
        </row>
        <row r="549">
          <cell r="B549" t="str">
            <v>VARILLA CORRUGADA DE 3/8" DE 12 MTS</v>
          </cell>
          <cell r="C549" t="str">
            <v>un</v>
          </cell>
          <cell r="D549">
            <v>10913.279999999999</v>
          </cell>
        </row>
        <row r="550">
          <cell r="B550" t="str">
            <v>VARILLA CORRUGADA DE 5/8" DE 12 MTS</v>
          </cell>
          <cell r="C550" t="str">
            <v>un</v>
          </cell>
          <cell r="D550">
            <v>30401.279999999999</v>
          </cell>
        </row>
        <row r="551">
          <cell r="B551" t="str">
            <v>VARILLA CUADRADA DE 1/2"</v>
          </cell>
          <cell r="C551" t="str">
            <v>ml</v>
          </cell>
          <cell r="D551">
            <v>3000</v>
          </cell>
        </row>
        <row r="552">
          <cell r="B552" t="str">
            <v>VARILLA CUADRADA DE 3/8"</v>
          </cell>
          <cell r="C552" t="str">
            <v>ml</v>
          </cell>
          <cell r="D552">
            <v>1800</v>
          </cell>
        </row>
        <row r="553">
          <cell r="B553" t="str">
            <v>VARILLA DE COBRE-COBRE Ø5/8" X 2.40 m</v>
          </cell>
          <cell r="C553" t="str">
            <v>un</v>
          </cell>
          <cell r="D553">
            <v>72000</v>
          </cell>
        </row>
        <row r="554">
          <cell r="B554" t="str">
            <v>VARILLA DE COBRE-COBRE Ø5/8" X 2.40 m COOPER WELL</v>
          </cell>
          <cell r="C554" t="str">
            <v>un</v>
          </cell>
          <cell r="D554">
            <v>125000</v>
          </cell>
        </row>
        <row r="555">
          <cell r="B555" t="str">
            <v>VARILLA EN ACERO DE 3/8"</v>
          </cell>
          <cell r="C555" t="str">
            <v>un</v>
          </cell>
          <cell r="D555">
            <v>11700</v>
          </cell>
        </row>
        <row r="556">
          <cell r="B556" t="str">
            <v>VARILLA EN ACERO DE 5/8"</v>
          </cell>
          <cell r="C556" t="str">
            <v>un</v>
          </cell>
          <cell r="D556">
            <v>32700</v>
          </cell>
        </row>
        <row r="557">
          <cell r="B557" t="str">
            <v>VARILLA LISA DE 1/2" DE 6 MTS</v>
          </cell>
          <cell r="C557" t="str">
            <v>un</v>
          </cell>
          <cell r="D557">
            <v>12152</v>
          </cell>
        </row>
        <row r="558">
          <cell r="B558" t="str">
            <v>VARILLA LISA DE 3/8" DE 6 MTS</v>
          </cell>
          <cell r="C558" t="str">
            <v>un</v>
          </cell>
          <cell r="D558">
            <v>6902</v>
          </cell>
        </row>
        <row r="559">
          <cell r="B559" t="str">
            <v>VIDRIO TEMPLADO DE 10 mm</v>
          </cell>
          <cell r="C559" t="str">
            <v>m2</v>
          </cell>
          <cell r="D559">
            <v>320000</v>
          </cell>
        </row>
        <row r="560">
          <cell r="B560" t="str">
            <v>VIDRIO DE 4 mm</v>
          </cell>
          <cell r="C560" t="str">
            <v>m2</v>
          </cell>
          <cell r="D560">
            <v>30000</v>
          </cell>
        </row>
        <row r="561">
          <cell r="B561" t="str">
            <v>VIDRIO TEMPLADO DE 8 mm</v>
          </cell>
          <cell r="C561" t="str">
            <v>m2</v>
          </cell>
          <cell r="D561">
            <v>250000</v>
          </cell>
        </row>
        <row r="562">
          <cell r="B562" t="str">
            <v>VINILTEX Pintuco</v>
          </cell>
          <cell r="C562" t="str">
            <v>gl</v>
          </cell>
          <cell r="D562">
            <v>55000</v>
          </cell>
        </row>
        <row r="563">
          <cell r="B563" t="str">
            <v>Wash Primer A Pintura</v>
          </cell>
          <cell r="C563" t="str">
            <v>gl</v>
          </cell>
          <cell r="D563">
            <v>98000</v>
          </cell>
        </row>
        <row r="564">
          <cell r="B564" t="str">
            <v>WASH PRIMER ANTICORROSIVO</v>
          </cell>
          <cell r="C564" t="str">
            <v>gl</v>
          </cell>
          <cell r="D564">
            <v>45000</v>
          </cell>
        </row>
        <row r="565">
          <cell r="B565" t="str">
            <v>Wash Primer B Catalizador</v>
          </cell>
          <cell r="C565" t="str">
            <v>gl</v>
          </cell>
          <cell r="D565">
            <v>92000</v>
          </cell>
        </row>
        <row r="566">
          <cell r="B566" t="str">
            <v>WASH PRIMER PINTURA</v>
          </cell>
          <cell r="C566" t="str">
            <v>gl</v>
          </cell>
          <cell r="D566">
            <v>60000</v>
          </cell>
        </row>
        <row r="567">
          <cell r="B567" t="str">
            <v>WIN Aluminio x 6 mts</v>
          </cell>
          <cell r="C567" t="str">
            <v>un</v>
          </cell>
          <cell r="D567">
            <v>14000</v>
          </cell>
        </row>
        <row r="568">
          <cell r="B568" t="str">
            <v>Xypes concentrado</v>
          </cell>
          <cell r="C568" t="str">
            <v>kg</v>
          </cell>
          <cell r="D568">
            <v>20900</v>
          </cell>
        </row>
        <row r="569">
          <cell r="B569" t="str">
            <v>Xypes Patch and Plug por 1.25 kg</v>
          </cell>
          <cell r="C569" t="str">
            <v>un</v>
          </cell>
          <cell r="D569">
            <v>19500</v>
          </cell>
        </row>
        <row r="570">
          <cell r="B570" t="str">
            <v>YEE SANITARIA 2"  Pavco</v>
          </cell>
          <cell r="C570" t="str">
            <v>un</v>
          </cell>
          <cell r="D570">
            <v>7500</v>
          </cell>
        </row>
        <row r="571">
          <cell r="B571" t="str">
            <v>YEE SANITARIA 4"  Pavco</v>
          </cell>
          <cell r="C571" t="str">
            <v>un</v>
          </cell>
          <cell r="D571">
            <v>18000</v>
          </cell>
        </row>
        <row r="572">
          <cell r="B572" t="str">
            <v>YESO CORRIENTE VENCEDOR</v>
          </cell>
          <cell r="C572" t="str">
            <v>bt</v>
          </cell>
          <cell r="D572">
            <v>15000</v>
          </cell>
        </row>
        <row r="573">
          <cell r="B573" t="str">
            <v>ZÓCALO Baldosa grano de marmol 30x7 Fondo blanco</v>
          </cell>
          <cell r="C573" t="str">
            <v>ml</v>
          </cell>
          <cell r="D573">
            <v>12500</v>
          </cell>
        </row>
        <row r="574">
          <cell r="B574" t="str">
            <v>ZÓCALO en ceramica pompei color coral  30*7</v>
          </cell>
          <cell r="C574" t="str">
            <v>ml</v>
          </cell>
          <cell r="D574">
            <v>7000</v>
          </cell>
        </row>
      </sheetData>
      <sheetData sheetId="3">
        <row r="2">
          <cell r="B2">
            <v>0</v>
          </cell>
          <cell r="C2" t="str">
            <v xml:space="preserve"> </v>
          </cell>
        </row>
        <row r="3">
          <cell r="B3" t="str">
            <v>ANDAMIO TUBULAR</v>
          </cell>
          <cell r="C3" t="str">
            <v>dd</v>
          </cell>
          <cell r="D3">
            <v>500</v>
          </cell>
        </row>
        <row r="4">
          <cell r="B4" t="str">
            <v>ALLANADORA GASOLINA HELICOPTERO</v>
          </cell>
          <cell r="C4" t="str">
            <v>dd</v>
          </cell>
          <cell r="D4">
            <v>55000</v>
          </cell>
        </row>
        <row r="5">
          <cell r="B5" t="str">
            <v>BAÑOS PORTATILES</v>
          </cell>
          <cell r="C5" t="str">
            <v>Mes</v>
          </cell>
          <cell r="D5">
            <v>525000</v>
          </cell>
        </row>
        <row r="6">
          <cell r="B6" t="str">
            <v xml:space="preserve">BOMBAS </v>
          </cell>
          <cell r="C6" t="str">
            <v>dd</v>
          </cell>
          <cell r="D6">
            <v>40000</v>
          </cell>
        </row>
        <row r="7">
          <cell r="B7" t="str">
            <v>COMPRESOR DE DOS MARTILLOS</v>
          </cell>
          <cell r="C7" t="str">
            <v>dd</v>
          </cell>
          <cell r="D7">
            <v>145000</v>
          </cell>
        </row>
        <row r="8">
          <cell r="B8" t="str">
            <v>CRUCETAS, PARALES Y CERCHAS</v>
          </cell>
          <cell r="C8" t="str">
            <v>Mes</v>
          </cell>
          <cell r="D8">
            <v>4500</v>
          </cell>
        </row>
        <row r="9">
          <cell r="B9" t="str">
            <v>EQUIPO BÁSICO ( Construcción )</v>
          </cell>
          <cell r="C9" t="str">
            <v>dd</v>
          </cell>
          <cell r="D9">
            <v>1000</v>
          </cell>
        </row>
        <row r="10">
          <cell r="B10" t="str">
            <v>EQUIPO BÁSICO ( Herramienta menor )</v>
          </cell>
          <cell r="C10" t="str">
            <v>dd</v>
          </cell>
          <cell r="D10">
            <v>1000</v>
          </cell>
        </row>
        <row r="11">
          <cell r="B11" t="str">
            <v>EQUIPO DE CARPINTERIA</v>
          </cell>
          <cell r="C11" t="str">
            <v>dd</v>
          </cell>
          <cell r="D11">
            <v>25000</v>
          </cell>
        </row>
        <row r="12">
          <cell r="B12" t="str">
            <v>EQUIPO DE ORNAMENTACION</v>
          </cell>
          <cell r="C12" t="str">
            <v>dd</v>
          </cell>
          <cell r="D12">
            <v>65000</v>
          </cell>
        </row>
        <row r="13">
          <cell r="B13" t="str">
            <v>EQUIPO SOLDADURA</v>
          </cell>
          <cell r="C13" t="str">
            <v>dd</v>
          </cell>
          <cell r="D13">
            <v>30000</v>
          </cell>
        </row>
        <row r="14">
          <cell r="B14" t="str">
            <v>EQUIPO TOPOGRAFICO</v>
          </cell>
          <cell r="C14" t="str">
            <v>dd</v>
          </cell>
          <cell r="D14">
            <v>250000</v>
          </cell>
        </row>
        <row r="15">
          <cell r="B15" t="str">
            <v>FORMALETA CANAL EN LAMINA</v>
          </cell>
          <cell r="C15" t="str">
            <v>dd</v>
          </cell>
          <cell r="D15">
            <v>5000</v>
          </cell>
        </row>
        <row r="16">
          <cell r="B16" t="str">
            <v>FORMALETA DE ENTREPISO POR M2</v>
          </cell>
          <cell r="C16" t="str">
            <v>Mes</v>
          </cell>
          <cell r="D16">
            <v>6500</v>
          </cell>
        </row>
        <row r="17">
          <cell r="B17" t="str">
            <v>FORK CLAMP</v>
          </cell>
          <cell r="C17" t="str">
            <v>dd</v>
          </cell>
          <cell r="D17">
            <v>90</v>
          </cell>
        </row>
        <row r="18">
          <cell r="B18" t="str">
            <v>LABORATORISTAS</v>
          </cell>
          <cell r="C18" t="str">
            <v>dd</v>
          </cell>
          <cell r="D18">
            <v>250000</v>
          </cell>
        </row>
        <row r="19">
          <cell r="B19" t="str">
            <v>GUADAÑA</v>
          </cell>
          <cell r="C19" t="str">
            <v>dd</v>
          </cell>
          <cell r="D19">
            <v>15000</v>
          </cell>
        </row>
        <row r="20">
          <cell r="B20" t="str">
            <v>ENSAYO PROCTOR MODIFICADO</v>
          </cell>
          <cell r="C20" t="str">
            <v>un</v>
          </cell>
          <cell r="D20">
            <v>95000</v>
          </cell>
        </row>
        <row r="21">
          <cell r="B21" t="str">
            <v>MEZCLADORA CONCRETO</v>
          </cell>
          <cell r="C21" t="str">
            <v>dd</v>
          </cell>
          <cell r="D21">
            <v>35000</v>
          </cell>
        </row>
        <row r="22">
          <cell r="B22" t="str">
            <v>MINICARGADOR BOBCAT 753</v>
          </cell>
          <cell r="C22" t="str">
            <v>hr</v>
          </cell>
          <cell r="D22">
            <v>60000</v>
          </cell>
        </row>
        <row r="23">
          <cell r="B23" t="str">
            <v>MORDAZA METÁLICA</v>
          </cell>
          <cell r="C23" t="str">
            <v>dd</v>
          </cell>
          <cell r="D23">
            <v>150</v>
          </cell>
        </row>
        <row r="24">
          <cell r="B24" t="str">
            <v>EQUIPOS LABORATORIOS</v>
          </cell>
          <cell r="C24" t="str">
            <v>dd</v>
          </cell>
          <cell r="D24">
            <v>80000</v>
          </cell>
        </row>
        <row r="25">
          <cell r="B25" t="str">
            <v>PARAL CORIENTE 2 a 3.50 m</v>
          </cell>
          <cell r="C25" t="str">
            <v>dd</v>
          </cell>
          <cell r="D25">
            <v>100</v>
          </cell>
        </row>
        <row r="26">
          <cell r="B26" t="str">
            <v>PISTOLA PARA EPOXICO</v>
          </cell>
          <cell r="C26" t="str">
            <v>dd</v>
          </cell>
          <cell r="D26">
            <v>7500</v>
          </cell>
        </row>
        <row r="27">
          <cell r="B27" t="str">
            <v>ENSAYO DENSIDAD DEL TERRENO</v>
          </cell>
          <cell r="C27" t="str">
            <v>un</v>
          </cell>
          <cell r="D27">
            <v>50000</v>
          </cell>
        </row>
        <row r="28">
          <cell r="B28" t="str">
            <v>PULIDORA</v>
          </cell>
          <cell r="C28" t="str">
            <v>dd</v>
          </cell>
          <cell r="D28">
            <v>25000</v>
          </cell>
        </row>
        <row r="29">
          <cell r="B29" t="str">
            <v>RANA</v>
          </cell>
          <cell r="C29" t="str">
            <v>dd</v>
          </cell>
          <cell r="D29">
            <v>30000</v>
          </cell>
        </row>
        <row r="30">
          <cell r="B30" t="str">
            <v>RETROEXCAVADORA + combustible+operario</v>
          </cell>
          <cell r="C30" t="str">
            <v>hr</v>
          </cell>
          <cell r="D30">
            <v>125000</v>
          </cell>
        </row>
        <row r="31">
          <cell r="B31" t="str">
            <v>SOPLETE</v>
          </cell>
          <cell r="C31" t="str">
            <v>dd</v>
          </cell>
          <cell r="D31">
            <v>15000</v>
          </cell>
        </row>
        <row r="32">
          <cell r="B32" t="str">
            <v>TALADRO</v>
          </cell>
          <cell r="C32" t="str">
            <v>dd</v>
          </cell>
          <cell r="D32">
            <v>15000</v>
          </cell>
        </row>
        <row r="33">
          <cell r="B33" t="str">
            <v>VIBRADOR A GASOLINA</v>
          </cell>
          <cell r="C33" t="str">
            <v>dd</v>
          </cell>
          <cell r="D33">
            <v>30000</v>
          </cell>
        </row>
        <row r="34">
          <cell r="B34" t="str">
            <v>EQUIPO DE EXCAVACION Y HORMIGADO PILOTES(Combustible+operario+Transporte)</v>
          </cell>
          <cell r="C34" t="str">
            <v>hr</v>
          </cell>
          <cell r="D34">
            <v>650000</v>
          </cell>
        </row>
        <row r="35">
          <cell r="B35" t="str">
            <v>VIBROCOMPACTADOR</v>
          </cell>
          <cell r="C35" t="str">
            <v>dd</v>
          </cell>
          <cell r="D35">
            <v>40000</v>
          </cell>
        </row>
        <row r="36">
          <cell r="B36" t="str">
            <v>HIDROLAVADORA</v>
          </cell>
          <cell r="C36" t="str">
            <v>dd</v>
          </cell>
          <cell r="D36">
            <v>25000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UNITARIOS"/>
      <sheetName val="MATERIAL"/>
      <sheetName val="EQUIPO"/>
      <sheetName val="TRANSPORTE"/>
      <sheetName val="MANO OBRA"/>
      <sheetName val="MEMORIAS"/>
      <sheetName val="A. P. U."/>
    </sheetNames>
    <sheetDataSet>
      <sheetData sheetId="0"/>
      <sheetData sheetId="1"/>
      <sheetData sheetId="2">
        <row r="2">
          <cell r="B2">
            <v>0</v>
          </cell>
          <cell r="C2" t="str">
            <v xml:space="preserve"> </v>
          </cell>
        </row>
        <row r="3">
          <cell r="B3" t="str">
            <v>ACCESORIOS ACERO INOXIDABLE</v>
          </cell>
          <cell r="C3" t="str">
            <v>m2</v>
          </cell>
          <cell r="D3">
            <v>150000</v>
          </cell>
        </row>
        <row r="4">
          <cell r="B4" t="str">
            <v>ABRAZADERAS 4"</v>
          </cell>
          <cell r="C4" t="str">
            <v>un</v>
          </cell>
          <cell r="D4">
            <v>2000</v>
          </cell>
        </row>
        <row r="5">
          <cell r="B5" t="str">
            <v>ACCESORIO PVC P 1/2"</v>
          </cell>
          <cell r="C5" t="str">
            <v>un</v>
          </cell>
          <cell r="D5">
            <v>550</v>
          </cell>
        </row>
        <row r="6">
          <cell r="B6" t="str">
            <v>ACCESORIO PVC S 2"</v>
          </cell>
          <cell r="C6" t="str">
            <v>un</v>
          </cell>
          <cell r="D6">
            <v>4100</v>
          </cell>
        </row>
        <row r="7">
          <cell r="B7" t="str">
            <v>ACCESORIO PVC S 3"</v>
          </cell>
          <cell r="C7" t="str">
            <v>un</v>
          </cell>
          <cell r="D7">
            <v>6850</v>
          </cell>
        </row>
        <row r="8">
          <cell r="B8" t="str">
            <v>ACCESORIO PVC S 4"</v>
          </cell>
          <cell r="C8" t="str">
            <v>un</v>
          </cell>
          <cell r="D8">
            <v>12600</v>
          </cell>
        </row>
        <row r="9">
          <cell r="B9" t="str">
            <v>ACCESORIOS</v>
          </cell>
          <cell r="C9" t="str">
            <v>un</v>
          </cell>
          <cell r="D9">
            <v>18000</v>
          </cell>
        </row>
        <row r="10">
          <cell r="B10" t="str">
            <v>ACCESORIOS CONEXIÓN Y DERIVACION CABLE COAXIAL</v>
          </cell>
          <cell r="C10" t="str">
            <v>gb</v>
          </cell>
          <cell r="D10">
            <v>190</v>
          </cell>
        </row>
        <row r="11">
          <cell r="B11" t="str">
            <v>Accesorios de conexion por atras SanitarioDO-TCDIC</v>
          </cell>
          <cell r="C11" t="str">
            <v>un</v>
          </cell>
          <cell r="D11">
            <v>5000</v>
          </cell>
        </row>
        <row r="12">
          <cell r="B12" t="str">
            <v>ACCESORIOS DE CONEXIÓN Y SUJECION PARA CABLE AMTIFRAU</v>
          </cell>
          <cell r="C12" t="str">
            <v>gb</v>
          </cell>
          <cell r="D12">
            <v>6500</v>
          </cell>
        </row>
        <row r="13">
          <cell r="B13" t="str">
            <v>ACCESORIOS DE SUJECION</v>
          </cell>
          <cell r="C13" t="str">
            <v>gb</v>
          </cell>
          <cell r="D13">
            <v>400</v>
          </cell>
        </row>
        <row r="14">
          <cell r="B14" t="str">
            <v>ACCESORIOS EMT</v>
          </cell>
          <cell r="C14" t="str">
            <v>un</v>
          </cell>
          <cell r="D14">
            <v>500</v>
          </cell>
        </row>
        <row r="15">
          <cell r="B15" t="str">
            <v xml:space="preserve">ACCESORIOS GALVANIZADOS PARA CONEXIÓN EQUIPO DE PRESION </v>
          </cell>
          <cell r="C15" t="str">
            <v>gl</v>
          </cell>
          <cell r="D15">
            <v>150000</v>
          </cell>
        </row>
        <row r="16">
          <cell r="B16" t="str">
            <v>ACCESORIOS CPVC-P 1/2" ( Codo , unión y tapón )</v>
          </cell>
          <cell r="C16" t="str">
            <v>un</v>
          </cell>
          <cell r="D16">
            <v>1200</v>
          </cell>
        </row>
        <row r="17">
          <cell r="B17" t="str">
            <v>ACCESORIOS PVC P 21/2"</v>
          </cell>
          <cell r="C17" t="str">
            <v>un</v>
          </cell>
          <cell r="D17">
            <v>15000</v>
          </cell>
        </row>
        <row r="18">
          <cell r="B18" t="str">
            <v>ACCESORIOS PVC-P 1 1/2" ( Codo , unión y tapón )</v>
          </cell>
          <cell r="C18" t="str">
            <v>un</v>
          </cell>
          <cell r="D18">
            <v>2650</v>
          </cell>
        </row>
        <row r="19">
          <cell r="B19" t="str">
            <v>ACCESORIOS PVC-P 1 1/4" ( Codo , unión y tapón )</v>
          </cell>
          <cell r="C19" t="str">
            <v>un</v>
          </cell>
          <cell r="D19">
            <v>2500</v>
          </cell>
        </row>
        <row r="20">
          <cell r="B20" t="str">
            <v>ACCESORIOS PVC-P 1/2" ( Codo , unión y tapón )</v>
          </cell>
          <cell r="C20" t="str">
            <v>un</v>
          </cell>
          <cell r="D20">
            <v>450</v>
          </cell>
        </row>
        <row r="21">
          <cell r="B21" t="str">
            <v>ACCESORIOS PVC-P 2" ( Codo , unión y tapón )</v>
          </cell>
          <cell r="C21" t="str">
            <v>un</v>
          </cell>
          <cell r="D21">
            <v>5000</v>
          </cell>
        </row>
        <row r="22">
          <cell r="B22" t="str">
            <v>ACCESORIOS PVC-P 3/4" ( Codo, unión y tapón )</v>
          </cell>
          <cell r="C22" t="str">
            <v>un</v>
          </cell>
          <cell r="D22">
            <v>1200</v>
          </cell>
        </row>
        <row r="23">
          <cell r="B23" t="str">
            <v>ACCESORIOS SUJECION TRANFORMADOR</v>
          </cell>
          <cell r="C23" t="str">
            <v>un</v>
          </cell>
          <cell r="D23">
            <v>50000</v>
          </cell>
        </row>
        <row r="24">
          <cell r="B24" t="str">
            <v>ACERO 37.000 PSI</v>
          </cell>
          <cell r="C24" t="str">
            <v>kg</v>
          </cell>
          <cell r="D24">
            <v>1900</v>
          </cell>
        </row>
        <row r="25">
          <cell r="B25" t="str">
            <v xml:space="preserve">ACERO 60.000 PSI </v>
          </cell>
          <cell r="C25" t="str">
            <v>kg</v>
          </cell>
          <cell r="D25">
            <v>1900</v>
          </cell>
        </row>
        <row r="26">
          <cell r="B26" t="str">
            <v>ACERO ESTRUCTURAL ACESCO PHR Cal. 12</v>
          </cell>
          <cell r="C26" t="str">
            <v>kg</v>
          </cell>
          <cell r="D26">
            <v>4500</v>
          </cell>
        </row>
        <row r="27">
          <cell r="B27" t="str">
            <v>ACIDO FLORIDRICO</v>
          </cell>
          <cell r="C27" t="str">
            <v>lt</v>
          </cell>
          <cell r="D27">
            <v>15500</v>
          </cell>
        </row>
        <row r="28">
          <cell r="B28" t="str">
            <v>ACIDO NITRICO</v>
          </cell>
          <cell r="C28" t="str">
            <v>lt</v>
          </cell>
          <cell r="D28">
            <v>4500</v>
          </cell>
        </row>
        <row r="29">
          <cell r="B29" t="str">
            <v>ACONDICIONADOR NOVAFORT 250ML  Pavco</v>
          </cell>
          <cell r="C29" t="str">
            <v>un</v>
          </cell>
          <cell r="D29">
            <v>15000</v>
          </cell>
        </row>
        <row r="30">
          <cell r="B30" t="str">
            <v>ACPM</v>
          </cell>
          <cell r="C30" t="str">
            <v>gl</v>
          </cell>
          <cell r="D30">
            <v>8500</v>
          </cell>
        </row>
        <row r="31">
          <cell r="B31" t="str">
            <v>ADAPTADOR CONDUIT PVC 1/2"</v>
          </cell>
          <cell r="C31" t="str">
            <v>un</v>
          </cell>
          <cell r="D31">
            <v>500</v>
          </cell>
        </row>
        <row r="32">
          <cell r="B32" t="str">
            <v>ADAPTADOR MACHO   3/4"</v>
          </cell>
          <cell r="C32" t="str">
            <v>un</v>
          </cell>
          <cell r="D32">
            <v>600</v>
          </cell>
        </row>
        <row r="33">
          <cell r="B33" t="str">
            <v>ADAPTADOR TERMINAL CONDUIT 3/4"</v>
          </cell>
          <cell r="C33" t="str">
            <v>un</v>
          </cell>
          <cell r="D33">
            <v>300</v>
          </cell>
        </row>
        <row r="34">
          <cell r="B34" t="str">
            <v>ADAPTADORES MACHO 1/2"</v>
          </cell>
          <cell r="C34" t="str">
            <v>un</v>
          </cell>
          <cell r="D34">
            <v>300</v>
          </cell>
        </row>
        <row r="35">
          <cell r="B35" t="str">
            <v>ADHESIVO EPOXICO G5 DE 651 ml</v>
          </cell>
          <cell r="C35" t="str">
            <v>un</v>
          </cell>
          <cell r="D35">
            <v>55000</v>
          </cell>
        </row>
        <row r="36">
          <cell r="B36" t="str">
            <v>ADHESIVO NOVAFORT 310 ML  Pavco</v>
          </cell>
          <cell r="C36" t="str">
            <v>un</v>
          </cell>
          <cell r="D36">
            <v>15000</v>
          </cell>
        </row>
        <row r="37">
          <cell r="B37" t="str">
            <v>AGUA</v>
          </cell>
          <cell r="C37" t="str">
            <v>lt</v>
          </cell>
          <cell r="D37">
            <v>500</v>
          </cell>
        </row>
        <row r="38">
          <cell r="B38" t="str">
            <v>AISLADORES</v>
          </cell>
          <cell r="C38" t="str">
            <v>un</v>
          </cell>
          <cell r="D38">
            <v>4500</v>
          </cell>
        </row>
        <row r="39">
          <cell r="B39" t="str">
            <v>AISLADORES DE PIN CON ESPIGO</v>
          </cell>
          <cell r="C39" t="str">
            <v>un</v>
          </cell>
          <cell r="D39">
            <v>42000</v>
          </cell>
        </row>
        <row r="40">
          <cell r="B40" t="str">
            <v>AISLADORES DE RETENCION</v>
          </cell>
          <cell r="C40" t="str">
            <v>un</v>
          </cell>
          <cell r="D40">
            <v>72500</v>
          </cell>
        </row>
        <row r="41">
          <cell r="B41" t="str">
            <v>AISLADORES EMISORES</v>
          </cell>
          <cell r="C41" t="str">
            <v>un</v>
          </cell>
          <cell r="D41">
            <v>85000</v>
          </cell>
        </row>
        <row r="42">
          <cell r="B42" t="str">
            <v>ALAMBRE COBRE DESNUDO AWG  12</v>
          </cell>
          <cell r="C42" t="str">
            <v>ml</v>
          </cell>
          <cell r="D42">
            <v>1700</v>
          </cell>
        </row>
        <row r="43">
          <cell r="B43" t="str">
            <v>ALAMBRE COBRE THHN 12 AWG</v>
          </cell>
          <cell r="C43" t="str">
            <v>ml</v>
          </cell>
          <cell r="D43">
            <v>1900</v>
          </cell>
        </row>
        <row r="44">
          <cell r="B44" t="str">
            <v>ALAMBRE NEGRO       No.18</v>
          </cell>
          <cell r="C44" t="str">
            <v>kg</v>
          </cell>
          <cell r="D44">
            <v>3000</v>
          </cell>
        </row>
        <row r="45">
          <cell r="B45" t="str">
            <v>ALFACOLOR 3-15</v>
          </cell>
          <cell r="C45" t="str">
            <v>kg</v>
          </cell>
          <cell r="D45">
            <v>2000</v>
          </cell>
        </row>
        <row r="46">
          <cell r="B46" t="str">
            <v>ALFAJIAS CONCRETO     .25</v>
          </cell>
          <cell r="C46" t="str">
            <v>ml</v>
          </cell>
          <cell r="D46">
            <v>25000</v>
          </cell>
        </row>
        <row r="47">
          <cell r="B47" t="str">
            <v>ALUMINIO PARA CIELO RASO INC ESTRUCTURA</v>
          </cell>
          <cell r="C47" t="str">
            <v>m2</v>
          </cell>
          <cell r="D47">
            <v>10500</v>
          </cell>
        </row>
        <row r="48">
          <cell r="B48" t="str">
            <v>ALUMINIO PARA DIVISION BAÑO</v>
          </cell>
          <cell r="C48" t="str">
            <v>m2</v>
          </cell>
          <cell r="D48">
            <v>40000</v>
          </cell>
        </row>
        <row r="49">
          <cell r="B49" t="str">
            <v>AMPLIFICADOR TV CON 20 SALIDAS</v>
          </cell>
          <cell r="C49" t="str">
            <v>un</v>
          </cell>
          <cell r="D49">
            <v>450000</v>
          </cell>
        </row>
        <row r="50">
          <cell r="B50" t="str">
            <v>ANCLAJE CAMISA DE 3/8"</v>
          </cell>
          <cell r="C50" t="str">
            <v>un</v>
          </cell>
          <cell r="D50">
            <v>1200</v>
          </cell>
        </row>
        <row r="51">
          <cell r="B51" t="str">
            <v>ÁNGULO     1 x 1 x 1/8" de 6 mts</v>
          </cell>
          <cell r="C51" t="str">
            <v>un</v>
          </cell>
          <cell r="D51">
            <v>17500</v>
          </cell>
        </row>
        <row r="52">
          <cell r="B52" t="str">
            <v>ÁNGULO     1 x 1 x 3/16" de 6 mts</v>
          </cell>
          <cell r="C52" t="str">
            <v>un</v>
          </cell>
          <cell r="D52">
            <v>20450</v>
          </cell>
        </row>
        <row r="53">
          <cell r="B53" t="str">
            <v>ANGULO 1 1/2X3/16</v>
          </cell>
          <cell r="C53" t="str">
            <v>un</v>
          </cell>
          <cell r="D53">
            <v>42000</v>
          </cell>
        </row>
        <row r="54">
          <cell r="B54" t="str">
            <v>ANGULO 1"X1/8"</v>
          </cell>
          <cell r="C54" t="str">
            <v>ml</v>
          </cell>
          <cell r="D54">
            <v>3500</v>
          </cell>
        </row>
        <row r="55">
          <cell r="B55" t="str">
            <v xml:space="preserve">ANGULO 2" * 2" * 1/8" </v>
          </cell>
          <cell r="C55" t="str">
            <v>kg</v>
          </cell>
          <cell r="D55">
            <v>2800</v>
          </cell>
        </row>
        <row r="56">
          <cell r="B56" t="str">
            <v xml:space="preserve">ANGULO 2" * 2" * 3/16" </v>
          </cell>
          <cell r="C56" t="str">
            <v>un</v>
          </cell>
          <cell r="D56">
            <v>50000</v>
          </cell>
        </row>
        <row r="57">
          <cell r="B57" t="str">
            <v>ANGULO 3/4"</v>
          </cell>
          <cell r="C57" t="str">
            <v>ml</v>
          </cell>
          <cell r="D57">
            <v>2000</v>
          </cell>
        </row>
        <row r="58">
          <cell r="B58" t="str">
            <v>ANGULO DE 1"x1/8"</v>
          </cell>
          <cell r="C58" t="str">
            <v>ml</v>
          </cell>
          <cell r="D58">
            <v>4250</v>
          </cell>
        </row>
        <row r="59">
          <cell r="B59" t="str">
            <v>ANGULOS DE ENSAMBLE</v>
          </cell>
          <cell r="C59" t="str">
            <v>gb</v>
          </cell>
          <cell r="D59">
            <v>20000</v>
          </cell>
        </row>
        <row r="60">
          <cell r="B60" t="str">
            <v>ANGULOS EN ALUMINIO BLANCO DE 3m</v>
          </cell>
          <cell r="C60" t="str">
            <v>un</v>
          </cell>
          <cell r="D60">
            <v>7000</v>
          </cell>
        </row>
        <row r="61">
          <cell r="B61" t="str">
            <v xml:space="preserve">ANTENA EXTERNA COMUNAL TV </v>
          </cell>
          <cell r="C61" t="str">
            <v>un</v>
          </cell>
          <cell r="D61">
            <v>75000</v>
          </cell>
        </row>
        <row r="62">
          <cell r="B62" t="str">
            <v>ANTICORROSIVO</v>
          </cell>
          <cell r="C62" t="str">
            <v>gl</v>
          </cell>
          <cell r="D62">
            <v>28500</v>
          </cell>
        </row>
        <row r="63">
          <cell r="B63" t="str">
            <v xml:space="preserve">ANTICORROSIVO </v>
          </cell>
          <cell r="C63" t="str">
            <v>gl</v>
          </cell>
          <cell r="D63">
            <v>28500</v>
          </cell>
        </row>
        <row r="64">
          <cell r="B64" t="str">
            <v>ARENA DE RIO</v>
          </cell>
          <cell r="C64" t="str">
            <v>m3</v>
          </cell>
          <cell r="D64">
            <v>110000</v>
          </cell>
        </row>
        <row r="65">
          <cell r="B65" t="str">
            <v>ARENA LAVADA DE PEÑA</v>
          </cell>
          <cell r="C65" t="str">
            <v>m3</v>
          </cell>
          <cell r="D65">
            <v>35000</v>
          </cell>
        </row>
        <row r="66">
          <cell r="B66" t="str">
            <v>ARBOL</v>
          </cell>
          <cell r="C66" t="str">
            <v>un</v>
          </cell>
          <cell r="D66">
            <v>352000</v>
          </cell>
        </row>
        <row r="67">
          <cell r="B67" t="str">
            <v>ASFALTO TIPO 190/220 200 kg</v>
          </cell>
          <cell r="C67" t="str">
            <v>kg</v>
          </cell>
          <cell r="D67">
            <v>2500</v>
          </cell>
        </row>
        <row r="68">
          <cell r="B68" t="str">
            <v>BALA DULUX 2X20W, REFLECTOR EN ALUMINIO BRILLADO. DIAMETRO 20,5 CMS, ACABADO BLANCO. INCLUYE 2 BOMBILLOS DULUX 20W ROSCA, LUZ 6500K</v>
          </cell>
          <cell r="C68" t="str">
            <v>un</v>
          </cell>
          <cell r="D68">
            <v>37000</v>
          </cell>
        </row>
        <row r="69">
          <cell r="B69" t="str">
            <v>BALA FLUORESCENTE 2X26 CON BOMBILLOS AHORRADORES</v>
          </cell>
          <cell r="C69" t="str">
            <v>un</v>
          </cell>
          <cell r="D69">
            <v>95000</v>
          </cell>
        </row>
        <row r="70">
          <cell r="B70" t="str">
            <v>BALDOSA EN GRANITO ALFA</v>
          </cell>
          <cell r="C70" t="str">
            <v>m2</v>
          </cell>
          <cell r="D70">
            <v>40000</v>
          </cell>
        </row>
        <row r="71">
          <cell r="B71" t="str">
            <v>BALDOSA PORCELANATICO</v>
          </cell>
          <cell r="C71" t="str">
            <v>m2</v>
          </cell>
          <cell r="D71">
            <v>50000</v>
          </cell>
        </row>
        <row r="72">
          <cell r="B72" t="str">
            <v>BARNIZ</v>
          </cell>
          <cell r="C72" t="str">
            <v>gl</v>
          </cell>
          <cell r="D72">
            <v>60000</v>
          </cell>
        </row>
        <row r="73">
          <cell r="B73" t="str">
            <v>BANDEJA PORTACABLES 60X8</v>
          </cell>
          <cell r="C73" t="str">
            <v>ML</v>
          </cell>
          <cell r="D73">
            <v>95000</v>
          </cell>
        </row>
        <row r="74">
          <cell r="B74" t="str">
            <v>BASE PARA FOTOCELDA CON SOPORTE</v>
          </cell>
          <cell r="C74" t="str">
            <v>un</v>
          </cell>
          <cell r="D74">
            <v>5000</v>
          </cell>
        </row>
        <row r="75">
          <cell r="B75" t="str">
            <v>BISAGRAS</v>
          </cell>
          <cell r="C75" t="str">
            <v>un</v>
          </cell>
          <cell r="D75">
            <v>3500</v>
          </cell>
        </row>
        <row r="76">
          <cell r="B76" t="str">
            <v>BISAGRAS PARA VENTANAS METALICAS</v>
          </cell>
          <cell r="C76" t="str">
            <v>par</v>
          </cell>
          <cell r="D76">
            <v>2000</v>
          </cell>
        </row>
        <row r="77">
          <cell r="B77" t="str">
            <v>BISAGRAS PUERTAS COCINA</v>
          </cell>
          <cell r="C77" t="str">
            <v>un</v>
          </cell>
          <cell r="D77">
            <v>1250</v>
          </cell>
        </row>
        <row r="78">
          <cell r="B78" t="str">
            <v>BISEL PARA VIDRIO ESPEJO</v>
          </cell>
          <cell r="C78" t="str">
            <v>ml</v>
          </cell>
          <cell r="D78">
            <v>5000</v>
          </cell>
        </row>
        <row r="79">
          <cell r="B79" t="str">
            <v>BLOQUE No. 3</v>
          </cell>
          <cell r="C79" t="str">
            <v>un</v>
          </cell>
          <cell r="D79">
            <v>850</v>
          </cell>
        </row>
        <row r="80">
          <cell r="B80" t="str">
            <v xml:space="preserve">BLOQUE No. 4 </v>
          </cell>
          <cell r="C80" t="str">
            <v>un</v>
          </cell>
          <cell r="D80">
            <v>800</v>
          </cell>
        </row>
        <row r="81">
          <cell r="B81" t="str">
            <v xml:space="preserve">BLOQUE No. 5 </v>
          </cell>
          <cell r="C81" t="str">
            <v>un</v>
          </cell>
          <cell r="D81">
            <v>850</v>
          </cell>
        </row>
        <row r="82">
          <cell r="B82" t="str">
            <v xml:space="preserve">Boca puerta en mármol,  incluye nariz redonda </v>
          </cell>
          <cell r="C82" t="str">
            <v>ml</v>
          </cell>
          <cell r="D82">
            <v>40000</v>
          </cell>
        </row>
        <row r="83">
          <cell r="B83" t="str">
            <v>BOQUILLA TERMINAL PVC 1"</v>
          </cell>
          <cell r="C83" t="str">
            <v>un</v>
          </cell>
          <cell r="D83">
            <v>2000</v>
          </cell>
        </row>
        <row r="84">
          <cell r="B84" t="str">
            <v>BOSEL</v>
          </cell>
          <cell r="C84" t="str">
            <v>ml</v>
          </cell>
          <cell r="D84">
            <v>500</v>
          </cell>
        </row>
        <row r="85">
          <cell r="B85" t="str">
            <v>BOMBAS PARA SISTEMA DE PLANTA TRATAMIENTO</v>
          </cell>
          <cell r="C85" t="str">
            <v>un</v>
          </cell>
          <cell r="D85">
            <v>9500000</v>
          </cell>
        </row>
        <row r="86">
          <cell r="B86" t="str">
            <v>BRAZO HIDRAULICO</v>
          </cell>
          <cell r="C86" t="str">
            <v>un</v>
          </cell>
          <cell r="D86">
            <v>220000</v>
          </cell>
        </row>
        <row r="87">
          <cell r="B87" t="str">
            <v>BROCA DE 5/8"</v>
          </cell>
          <cell r="C87" t="str">
            <v>un</v>
          </cell>
          <cell r="D87">
            <v>70000</v>
          </cell>
        </row>
        <row r="88">
          <cell r="B88" t="str">
            <v>BROCAS 1/2"</v>
          </cell>
          <cell r="C88" t="str">
            <v>un</v>
          </cell>
          <cell r="D88">
            <v>60000</v>
          </cell>
        </row>
        <row r="89">
          <cell r="B89" t="str">
            <v>BROCAS 1/4"</v>
          </cell>
          <cell r="C89" t="str">
            <v>un</v>
          </cell>
          <cell r="D89">
            <v>4500</v>
          </cell>
        </row>
        <row r="90">
          <cell r="B90" t="str">
            <v>BROCAS, GRAPAS, CHAZOS Y TORNILLOS</v>
          </cell>
          <cell r="C90" t="str">
            <v>global</v>
          </cell>
          <cell r="D90">
            <v>10000</v>
          </cell>
        </row>
        <row r="91">
          <cell r="B91" t="str">
            <v>BUSHING 4"X2" A.C.</v>
          </cell>
          <cell r="C91" t="str">
            <v>un</v>
          </cell>
          <cell r="D91">
            <v>32480</v>
          </cell>
        </row>
        <row r="92">
          <cell r="B92" t="str">
            <v>CABALLETE ETERNIT</v>
          </cell>
          <cell r="C92" t="str">
            <v>un</v>
          </cell>
          <cell r="D92">
            <v>14500</v>
          </cell>
        </row>
        <row r="93">
          <cell r="B93" t="str">
            <v>CABALLETE THERMOACUSTICA DE 2.00X0.70</v>
          </cell>
          <cell r="C93" t="str">
            <v>un</v>
          </cell>
          <cell r="D93">
            <v>55000</v>
          </cell>
        </row>
        <row r="94">
          <cell r="B94" t="str">
            <v>CABLE #4 COBRE DESNUDO</v>
          </cell>
          <cell r="C94" t="str">
            <v>ml</v>
          </cell>
          <cell r="D94">
            <v>8500</v>
          </cell>
        </row>
        <row r="95">
          <cell r="B95" t="str">
            <v>Cable 10 THWN/THHN Cu-AWG 600V</v>
          </cell>
          <cell r="C95" t="str">
            <v>ml</v>
          </cell>
          <cell r="D95">
            <v>6500</v>
          </cell>
        </row>
        <row r="96">
          <cell r="B96" t="str">
            <v>cable 2/0</v>
          </cell>
          <cell r="C96" t="str">
            <v>ml</v>
          </cell>
          <cell r="D96">
            <v>23500</v>
          </cell>
        </row>
        <row r="97">
          <cell r="B97" t="str">
            <v>Cable 8 THWN/THHN Cu-AWG 600V</v>
          </cell>
          <cell r="C97" t="str">
            <v>ml</v>
          </cell>
          <cell r="D97">
            <v>3800</v>
          </cell>
        </row>
        <row r="98">
          <cell r="B98" t="str">
            <v>CABLE ANTIFRAUDE #8</v>
          </cell>
          <cell r="C98" t="str">
            <v>ml</v>
          </cell>
          <cell r="D98">
            <v>4500</v>
          </cell>
        </row>
        <row r="99">
          <cell r="B99" t="str">
            <v xml:space="preserve">CABLE BLINDADO COAXIAL RG59 U TV </v>
          </cell>
          <cell r="C99" t="str">
            <v>ml</v>
          </cell>
          <cell r="D99">
            <v>1500</v>
          </cell>
        </row>
        <row r="100">
          <cell r="B100" t="str">
            <v>CABLE DUPLEX DE 2X16</v>
          </cell>
          <cell r="C100" t="str">
            <v>ml</v>
          </cell>
          <cell r="D100">
            <v>2500</v>
          </cell>
        </row>
        <row r="101">
          <cell r="B101" t="str">
            <v>Cable 12 THWN/THHN Cu-AWG 600V</v>
          </cell>
          <cell r="C101" t="str">
            <v>ml</v>
          </cell>
          <cell r="D101">
            <v>2500</v>
          </cell>
        </row>
        <row r="102">
          <cell r="B102" t="str">
            <v>Cable 14 THWN/THHN Cu-AWG 600V</v>
          </cell>
          <cell r="C102" t="str">
            <v>ml</v>
          </cell>
          <cell r="D102">
            <v>1500</v>
          </cell>
        </row>
        <row r="103">
          <cell r="B103" t="str">
            <v>Cable 8 THWN/THHN Cu-AWG 600V</v>
          </cell>
          <cell r="C103" t="str">
            <v>ml</v>
          </cell>
          <cell r="D103">
            <v>3800</v>
          </cell>
        </row>
        <row r="104">
          <cell r="B104" t="str">
            <v>CABLE ENCAUCHETADO 3#4+1#6 T</v>
          </cell>
          <cell r="C104" t="str">
            <v>ml</v>
          </cell>
          <cell r="D104">
            <v>55500</v>
          </cell>
        </row>
        <row r="105">
          <cell r="B105" t="str">
            <v>CABLE DE COBRE DESNUDO No.12 AWG</v>
          </cell>
          <cell r="C105" t="str">
            <v>ml</v>
          </cell>
          <cell r="D105">
            <v>2600</v>
          </cell>
        </row>
        <row r="106">
          <cell r="B106" t="str">
            <v>CABLE No. 12 T</v>
          </cell>
          <cell r="C106" t="str">
            <v>ml</v>
          </cell>
          <cell r="D106">
            <v>3000</v>
          </cell>
        </row>
        <row r="107">
          <cell r="B107" t="str">
            <v>CABLE PARA SEÑALES SISTEMA CONTRA INCENDIO  2 PARES (2X22AWG) NPLF AISLAMIENTO EN PVC DE ACUERDO A LAS NORMAS IEC189, IEC708</v>
          </cell>
          <cell r="C107" t="str">
            <v>m</v>
          </cell>
          <cell r="D107">
            <v>3950</v>
          </cell>
        </row>
        <row r="108">
          <cell r="B108" t="str">
            <v>CABLE TELEFONICO 2 PARES</v>
          </cell>
          <cell r="C108" t="str">
            <v>ml</v>
          </cell>
          <cell r="D108">
            <v>1200</v>
          </cell>
        </row>
        <row r="109">
          <cell r="B109" t="str">
            <v>CAJA 2400</v>
          </cell>
          <cell r="C109" t="str">
            <v>un</v>
          </cell>
          <cell r="D109">
            <v>2000</v>
          </cell>
        </row>
        <row r="110">
          <cell r="B110" t="str">
            <v>CAJA 5800</v>
          </cell>
          <cell r="C110" t="str">
            <v>un</v>
          </cell>
          <cell r="D110">
            <v>1500</v>
          </cell>
        </row>
        <row r="111">
          <cell r="B111" t="str">
            <v>CAJA MEDIDOR ACUEDUCTO CON TAPA Y CERRADURA</v>
          </cell>
          <cell r="C111" t="str">
            <v>un</v>
          </cell>
          <cell r="D111">
            <v>70000</v>
          </cell>
        </row>
        <row r="112">
          <cell r="B112" t="str">
            <v>CAJA MEDIDOR DE AGUA 60*28*14</v>
          </cell>
          <cell r="C112" t="str">
            <v>un</v>
          </cell>
          <cell r="D112">
            <v>50000</v>
          </cell>
        </row>
        <row r="113">
          <cell r="B113" t="str">
            <v>CAJA MONOFASICA DE 4 CIRCUITOS CON TACOS</v>
          </cell>
          <cell r="C113" t="str">
            <v>un</v>
          </cell>
          <cell r="D113">
            <v>100000</v>
          </cell>
        </row>
        <row r="114">
          <cell r="B114" t="str">
            <v>CAJA OCTOGONAL GALVANIZADA (CAJA EMP GALV.OCTAGONAL 4")</v>
          </cell>
          <cell r="C114" t="str">
            <v>un</v>
          </cell>
          <cell r="D114">
            <v>2500</v>
          </cell>
        </row>
        <row r="115">
          <cell r="B115" t="str">
            <v>CAJA METALICA AMPLIFICADOR TV</v>
          </cell>
          <cell r="C115" t="str">
            <v>un</v>
          </cell>
          <cell r="D115">
            <v>220000</v>
          </cell>
        </row>
        <row r="116">
          <cell r="B116" t="str">
            <v>CAJA SENCILLA CONDUIT (CAJA EMP GALV.RECTANG. 2X4")</v>
          </cell>
          <cell r="C116" t="str">
            <v>un</v>
          </cell>
          <cell r="D116">
            <v>2000</v>
          </cell>
        </row>
        <row r="117">
          <cell r="B117" t="str">
            <v xml:space="preserve">CAJAS DE 20X25X10 CM PARA CONEXIÓN </v>
          </cell>
          <cell r="C117" t="str">
            <v>un</v>
          </cell>
          <cell r="D117">
            <v>49500</v>
          </cell>
        </row>
        <row r="118">
          <cell r="B118" t="str">
            <v>CALENTADOR ELECTRICO 20 GL 120 V HACEB</v>
          </cell>
          <cell r="C118" t="str">
            <v>un</v>
          </cell>
          <cell r="D118">
            <v>579900</v>
          </cell>
        </row>
        <row r="119">
          <cell r="B119" t="str">
            <v>CARBURO BLANCO</v>
          </cell>
          <cell r="C119" t="str">
            <v>gl</v>
          </cell>
          <cell r="D119">
            <v>55000</v>
          </cell>
        </row>
        <row r="120">
          <cell r="B120" t="str">
            <v>CAOLÍN</v>
          </cell>
          <cell r="C120" t="str">
            <v>bt</v>
          </cell>
          <cell r="D120">
            <v>12000</v>
          </cell>
        </row>
        <row r="121">
          <cell r="B121" t="str">
            <v>CAPACETE 1"</v>
          </cell>
          <cell r="C121" t="str">
            <v>un</v>
          </cell>
          <cell r="D121">
            <v>53333.333333333336</v>
          </cell>
        </row>
        <row r="122">
          <cell r="B122" t="str">
            <v>CASETÓN DE GUADUA h=0.42</v>
          </cell>
          <cell r="C122" t="str">
            <v>ml</v>
          </cell>
          <cell r="D122">
            <v>15000</v>
          </cell>
        </row>
        <row r="124">
          <cell r="B124" t="str">
            <v>CEDRO CAQUETA</v>
          </cell>
          <cell r="C124" t="str">
            <v>pieza</v>
          </cell>
          <cell r="D124">
            <v>35000</v>
          </cell>
        </row>
        <row r="125">
          <cell r="B125" t="str">
            <v xml:space="preserve">CELDA METÁLICA -LÁMINA COLD-ROLLED PARA  TRANSFORMADOR </v>
          </cell>
          <cell r="C125" t="str">
            <v>un</v>
          </cell>
          <cell r="D125">
            <v>2300000</v>
          </cell>
        </row>
        <row r="126">
          <cell r="B126" t="str">
            <v>CEMENTO MARINO</v>
          </cell>
          <cell r="C126" t="str">
            <v>gl</v>
          </cell>
          <cell r="D126">
            <v>38000</v>
          </cell>
        </row>
        <row r="127">
          <cell r="B127" t="str">
            <v>CEMENTO BLANCO</v>
          </cell>
          <cell r="C127" t="str">
            <v>kg</v>
          </cell>
          <cell r="D127">
            <v>1200</v>
          </cell>
        </row>
        <row r="128">
          <cell r="B128" t="str">
            <v>CEMENTO GRIS</v>
          </cell>
          <cell r="C128" t="str">
            <v>bt</v>
          </cell>
          <cell r="D128">
            <v>25000</v>
          </cell>
        </row>
        <row r="129">
          <cell r="B129" t="str">
            <v xml:space="preserve">CERAMICA </v>
          </cell>
          <cell r="C129" t="str">
            <v>m2</v>
          </cell>
          <cell r="D129">
            <v>25000</v>
          </cell>
        </row>
        <row r="130">
          <cell r="B130" t="str">
            <v>CERRADURA INAFER</v>
          </cell>
          <cell r="C130" t="str">
            <v>un</v>
          </cell>
          <cell r="D130">
            <v>22000</v>
          </cell>
        </row>
        <row r="131">
          <cell r="B131" t="str">
            <v>CERRADURA POMA MADERA ALCOBA</v>
          </cell>
          <cell r="C131" t="str">
            <v>un</v>
          </cell>
          <cell r="D131">
            <v>28500</v>
          </cell>
        </row>
        <row r="132">
          <cell r="B132" t="str">
            <v>CERRADURA POMA PUERTAS</v>
          </cell>
          <cell r="C132" t="str">
            <v>un</v>
          </cell>
          <cell r="D132">
            <v>15000</v>
          </cell>
        </row>
        <row r="133">
          <cell r="B133" t="str">
            <v>CENEFA EN MADERA DE 0.12 TINTADA</v>
          </cell>
          <cell r="C133" t="str">
            <v>ml</v>
          </cell>
          <cell r="D133">
            <v>45000</v>
          </cell>
        </row>
        <row r="134">
          <cell r="B134" t="str">
            <v>CERROJO EN ACERO INOXIDABLE</v>
          </cell>
          <cell r="C134" t="str">
            <v>un</v>
          </cell>
          <cell r="D134">
            <v>60000</v>
          </cell>
        </row>
        <row r="135">
          <cell r="B135" t="str">
            <v>CERRADURA SCHLAGE BAÑO  A40S Cromado Mate</v>
          </cell>
          <cell r="C135" t="str">
            <v>un</v>
          </cell>
          <cell r="D135">
            <v>36000</v>
          </cell>
        </row>
        <row r="136">
          <cell r="B136" t="str">
            <v>CHEQUE HORIZONTAL 1/2"</v>
          </cell>
          <cell r="C136" t="str">
            <v>un</v>
          </cell>
          <cell r="D136">
            <v>10000</v>
          </cell>
        </row>
        <row r="137">
          <cell r="B137" t="str">
            <v>CHEQUE R&amp;W Roscado 3/4" Ref. 236</v>
          </cell>
          <cell r="C137" t="str">
            <v>un</v>
          </cell>
          <cell r="D137">
            <v>37000</v>
          </cell>
        </row>
        <row r="138">
          <cell r="B138" t="str">
            <v>CIELO RASO Star Orion ( perfileria aluminio 1" )</v>
          </cell>
          <cell r="C138" t="str">
            <v>m2</v>
          </cell>
          <cell r="D138">
            <v>25000</v>
          </cell>
        </row>
        <row r="139">
          <cell r="B139" t="str">
            <v>CILINDRO DE GAS PROPANO</v>
          </cell>
          <cell r="C139" t="str">
            <v>un</v>
          </cell>
          <cell r="D139">
            <v>25000</v>
          </cell>
        </row>
        <row r="140">
          <cell r="B140" t="str">
            <v>CINTA BANDIT 1/2" CON GRAPAS</v>
          </cell>
          <cell r="C140" t="str">
            <v>un</v>
          </cell>
          <cell r="D140">
            <v>105000</v>
          </cell>
        </row>
        <row r="141">
          <cell r="B141" t="str">
            <v>CINTA PAPEL</v>
          </cell>
          <cell r="C141" t="str">
            <v>rl</v>
          </cell>
          <cell r="D141">
            <v>8000</v>
          </cell>
        </row>
        <row r="142">
          <cell r="B142" t="str">
            <v>CINTA TEFLÓN 10 m 1/2"</v>
          </cell>
          <cell r="C142" t="str">
            <v>un</v>
          </cell>
          <cell r="D142">
            <v>2000</v>
          </cell>
        </row>
        <row r="143">
          <cell r="B143" t="str">
            <v>CLOSET</v>
          </cell>
          <cell r="C143" t="str">
            <v>m2</v>
          </cell>
          <cell r="D143">
            <v>170000</v>
          </cell>
        </row>
        <row r="144">
          <cell r="B144" t="str">
            <v>COCINA INTEGRAL</v>
          </cell>
          <cell r="C144" t="str">
            <v>ml</v>
          </cell>
          <cell r="D144">
            <v>1180000</v>
          </cell>
        </row>
        <row r="145">
          <cell r="B145" t="str">
            <v>CODO 90° 1/4 CxC SANITARIO 3" Pavco</v>
          </cell>
          <cell r="C145" t="str">
            <v>un</v>
          </cell>
          <cell r="D145">
            <v>15000</v>
          </cell>
        </row>
        <row r="146">
          <cell r="B146" t="str">
            <v>CODO 90° 1/4 CxC SANITARIO 4" Pavco</v>
          </cell>
          <cell r="C146" t="str">
            <v>un</v>
          </cell>
          <cell r="D146">
            <v>16500</v>
          </cell>
        </row>
        <row r="147">
          <cell r="B147" t="str">
            <v>CODO 90° 1/4 CxE SANITARIO 2"</v>
          </cell>
          <cell r="C147" t="str">
            <v>un</v>
          </cell>
          <cell r="D147">
            <v>190000</v>
          </cell>
        </row>
        <row r="148">
          <cell r="B148" t="str">
            <v>CODO 90° 4" EXTREMO BRIDADO</v>
          </cell>
          <cell r="C148" t="str">
            <v>un</v>
          </cell>
          <cell r="D148">
            <v>190000</v>
          </cell>
        </row>
        <row r="149">
          <cell r="B149" t="str">
            <v>CODO 90° PRESIÓN PVC   3/4" Pavco</v>
          </cell>
          <cell r="C149" t="str">
            <v>un</v>
          </cell>
          <cell r="D149">
            <v>1850</v>
          </cell>
        </row>
        <row r="150">
          <cell r="B150" t="str">
            <v>CODO 90° PRESIÓN PVC 1 1/2" Pavco</v>
          </cell>
          <cell r="C150" t="str">
            <v>un</v>
          </cell>
          <cell r="D150">
            <v>3500</v>
          </cell>
        </row>
        <row r="151">
          <cell r="B151" t="str">
            <v>CODO PRESIÓN           1"</v>
          </cell>
          <cell r="C151" t="str">
            <v>un</v>
          </cell>
          <cell r="D151">
            <v>2500</v>
          </cell>
        </row>
        <row r="152">
          <cell r="B152" t="str">
            <v>COMBO SANITARIO BLANCO AHORRADOR</v>
          </cell>
          <cell r="C152" t="str">
            <v>un</v>
          </cell>
          <cell r="D152">
            <v>310000</v>
          </cell>
        </row>
        <row r="153">
          <cell r="B153" t="str">
            <v>CONCERTINA EN ACERO INOXIDABLE DE 18"</v>
          </cell>
          <cell r="C153" t="str">
            <v>ml</v>
          </cell>
          <cell r="D153">
            <v>16500</v>
          </cell>
        </row>
        <row r="154">
          <cell r="B154" t="str">
            <v>CONCRETO DE 1500 PSI</v>
          </cell>
          <cell r="C154" t="str">
            <v>m3</v>
          </cell>
          <cell r="D154">
            <v>270000</v>
          </cell>
        </row>
        <row r="155">
          <cell r="B155" t="str">
            <v>CONCRETO DE 2000 PSI</v>
          </cell>
          <cell r="C155" t="str">
            <v>m3</v>
          </cell>
          <cell r="D155">
            <v>280000</v>
          </cell>
        </row>
        <row r="156">
          <cell r="B156" t="str">
            <v>CONCRETO DE 2500 PSI</v>
          </cell>
          <cell r="C156" t="str">
            <v>m3</v>
          </cell>
          <cell r="D156">
            <v>290000</v>
          </cell>
        </row>
        <row r="157">
          <cell r="B157" t="str">
            <v>CONCRETO DE 3000 PSI</v>
          </cell>
          <cell r="C157" t="str">
            <v>m3</v>
          </cell>
          <cell r="D157">
            <v>320000</v>
          </cell>
        </row>
        <row r="158">
          <cell r="B158" t="str">
            <v>CONCRETO DE 3500 PSI</v>
          </cell>
          <cell r="C158" t="str">
            <v>m3</v>
          </cell>
          <cell r="D158">
            <v>330000</v>
          </cell>
        </row>
        <row r="159">
          <cell r="B159" t="str">
            <v>CONCRETO DE 4000 PSI</v>
          </cell>
          <cell r="C159" t="str">
            <v>m3</v>
          </cell>
          <cell r="D159">
            <v>360000</v>
          </cell>
        </row>
        <row r="160">
          <cell r="B160" t="str">
            <v>CONCRETO TREMIE TORNILLO DE 3000 PSI</v>
          </cell>
          <cell r="C160" t="str">
            <v>m3</v>
          </cell>
          <cell r="D160">
            <v>350000</v>
          </cell>
        </row>
        <row r="161">
          <cell r="B161" t="str">
            <v>CONCRETO TREMIE TORNILLO DE 4000 PSI</v>
          </cell>
          <cell r="C161" t="str">
            <v>m3</v>
          </cell>
          <cell r="D161">
            <v>380000</v>
          </cell>
        </row>
        <row r="162">
          <cell r="B162" t="str">
            <v>CONCRETO DE 3500 PSI BAJA PERMEABILIDAD</v>
          </cell>
          <cell r="C162" t="str">
            <v>m3</v>
          </cell>
          <cell r="D162">
            <v>350000</v>
          </cell>
        </row>
        <row r="163">
          <cell r="B163" t="str">
            <v>COPA ESMERIL</v>
          </cell>
          <cell r="C163" t="str">
            <v>un</v>
          </cell>
          <cell r="D163">
            <v>60000</v>
          </cell>
        </row>
        <row r="164">
          <cell r="B164" t="str">
            <v>COPA SIERRA</v>
          </cell>
          <cell r="C164" t="str">
            <v>un</v>
          </cell>
          <cell r="D164">
            <v>14500</v>
          </cell>
        </row>
        <row r="165">
          <cell r="B165" t="str">
            <v>CORREA EN MADERA</v>
          </cell>
          <cell r="C165" t="str">
            <v>ml</v>
          </cell>
          <cell r="D165">
            <v>35000</v>
          </cell>
        </row>
        <row r="166">
          <cell r="B166" t="str">
            <v>CORREA METALICA</v>
          </cell>
          <cell r="C166" t="str">
            <v>ml</v>
          </cell>
          <cell r="D166">
            <v>12500</v>
          </cell>
        </row>
        <row r="167">
          <cell r="B167" t="str">
            <v>CORTACIRCUITOS 15 KV-100 AMPERIOS-</v>
          </cell>
          <cell r="C167" t="str">
            <v>un</v>
          </cell>
          <cell r="D167">
            <v>550000</v>
          </cell>
        </row>
        <row r="168">
          <cell r="B168" t="str">
            <v xml:space="preserve">Cortina corrida Automática tipo Blackout, h= 1.10 m </v>
          </cell>
          <cell r="C168" t="str">
            <v>ml</v>
          </cell>
          <cell r="D168">
            <v>180000</v>
          </cell>
        </row>
        <row r="169">
          <cell r="B169" t="str">
            <v>CURVA 90º PVC 1/2"</v>
          </cell>
          <cell r="C169" t="str">
            <v>un</v>
          </cell>
          <cell r="D169">
            <v>500</v>
          </cell>
        </row>
        <row r="170">
          <cell r="B170" t="str">
            <v>DESAGUE LAVAMANOS SENCILLO Gerfor GF-581084</v>
          </cell>
          <cell r="C170" t="str">
            <v>un</v>
          </cell>
          <cell r="D170">
            <v>15000</v>
          </cell>
        </row>
        <row r="171">
          <cell r="B171" t="str">
            <v>DESAGUE ORINAL 1 1/2"</v>
          </cell>
          <cell r="C171" t="str">
            <v>un</v>
          </cell>
          <cell r="D171">
            <v>14500</v>
          </cell>
        </row>
        <row r="172">
          <cell r="B172" t="str">
            <v>DESCARGADOR DE SOBRETENSION TIPO  LINEA 12 KV- 10 KA-</v>
          </cell>
          <cell r="C172" t="str">
            <v>un</v>
          </cell>
          <cell r="D172">
            <v>480000</v>
          </cell>
        </row>
        <row r="173">
          <cell r="B173" t="str">
            <v xml:space="preserve">DESCARGADOR FRANKLIN DE 5 PUNTAS </v>
          </cell>
          <cell r="C173" t="str">
            <v>un</v>
          </cell>
          <cell r="D173">
            <v>950000</v>
          </cell>
        </row>
        <row r="174">
          <cell r="B174" t="str">
            <v>DIAGONALES</v>
          </cell>
          <cell r="C174" t="str">
            <v>un</v>
          </cell>
          <cell r="D174">
            <v>8500</v>
          </cell>
        </row>
        <row r="175">
          <cell r="B175" t="str">
            <v>DILATACION BRONCE</v>
          </cell>
          <cell r="C175" t="str">
            <v>ml</v>
          </cell>
          <cell r="D175">
            <v>4500</v>
          </cell>
        </row>
        <row r="176">
          <cell r="B176" t="str">
            <v>DILATACIÓN EN BRONCE PC13</v>
          </cell>
          <cell r="C176" t="str">
            <v>ml</v>
          </cell>
          <cell r="D176">
            <v>18500</v>
          </cell>
        </row>
        <row r="177">
          <cell r="B177" t="str">
            <v>DINTELES EN CONCRETO h=0.15m x 0.2m (2500 PSI Mezcla 1:3:3)</v>
          </cell>
          <cell r="C177" t="str">
            <v>ml</v>
          </cell>
          <cell r="D177">
            <v>25000</v>
          </cell>
        </row>
        <row r="178">
          <cell r="B178" t="str">
            <v>DISCO CORTE LADRILLO Y7O CONCRETO</v>
          </cell>
          <cell r="C178" t="str">
            <v>un</v>
          </cell>
          <cell r="D178">
            <v>12500</v>
          </cell>
        </row>
        <row r="179">
          <cell r="B179" t="str">
            <v>DISCO PARA CORTE METAL</v>
          </cell>
          <cell r="C179" t="str">
            <v>un</v>
          </cell>
          <cell r="D179">
            <v>7500</v>
          </cell>
        </row>
        <row r="180">
          <cell r="B180" t="str">
            <v>DISPENSADOR JABON</v>
          </cell>
          <cell r="C180" t="str">
            <v>un</v>
          </cell>
          <cell r="D180">
            <v>32000</v>
          </cell>
        </row>
        <row r="181">
          <cell r="B181" t="str">
            <v>DUCHA Antivandalica Docol DO-17125106</v>
          </cell>
          <cell r="C181" t="str">
            <v>un</v>
          </cell>
          <cell r="D181">
            <v>150000</v>
          </cell>
        </row>
        <row r="182">
          <cell r="B182" t="str">
            <v>DUCHA CON MEZCLADOR</v>
          </cell>
          <cell r="C182" t="str">
            <v>un</v>
          </cell>
          <cell r="D182">
            <v>60000</v>
          </cell>
        </row>
        <row r="183">
          <cell r="B183" t="str">
            <v>DUCHA CON REGISTRO</v>
          </cell>
          <cell r="C183" t="str">
            <v>un</v>
          </cell>
          <cell r="D183">
            <v>35000</v>
          </cell>
        </row>
        <row r="184">
          <cell r="B184" t="str">
            <v>DUCHA ELECTRICA</v>
          </cell>
          <cell r="C184" t="str">
            <v>un</v>
          </cell>
          <cell r="D184">
            <v>55000</v>
          </cell>
        </row>
        <row r="185">
          <cell r="B185" t="str">
            <v>DURMIENTE ABARCO 4 m</v>
          </cell>
          <cell r="C185" t="str">
            <v>ml</v>
          </cell>
          <cell r="D185">
            <v>4200</v>
          </cell>
        </row>
        <row r="186">
          <cell r="B186" t="str">
            <v>DURMIENTE ORDINARIO DE 3 MTS</v>
          </cell>
          <cell r="C186" t="str">
            <v>un</v>
          </cell>
          <cell r="D186">
            <v>4500</v>
          </cell>
        </row>
        <row r="187">
          <cell r="B187" t="str">
            <v>ELEMENTOS FIJACION MANTO</v>
          </cell>
          <cell r="C187" t="str">
            <v>m2</v>
          </cell>
          <cell r="D187">
            <v>1000</v>
          </cell>
        </row>
        <row r="188">
          <cell r="B188" t="str">
            <v>EMPAQUES</v>
          </cell>
          <cell r="C188" t="str">
            <v>ml</v>
          </cell>
          <cell r="D188">
            <v>500</v>
          </cell>
        </row>
        <row r="189">
          <cell r="B189" t="str">
            <v>EMULSION ASFALTICA</v>
          </cell>
          <cell r="C189" t="str">
            <v>caneca</v>
          </cell>
          <cell r="D189">
            <v>75000</v>
          </cell>
        </row>
        <row r="190">
          <cell r="B190" t="str">
            <v>ENCHAPE  DE 20X30</v>
          </cell>
          <cell r="C190" t="str">
            <v>m2</v>
          </cell>
          <cell r="D190">
            <v>28500</v>
          </cell>
        </row>
        <row r="191">
          <cell r="B191" t="str">
            <v>ENCHAPE CERAMICA BLANCO</v>
          </cell>
          <cell r="C191" t="str">
            <v>m2</v>
          </cell>
          <cell r="D191">
            <v>27500</v>
          </cell>
        </row>
        <row r="192">
          <cell r="B192" t="str">
            <v>Enchape paredes interiores Triplex Cedro Tintillad</v>
          </cell>
          <cell r="C192" t="str">
            <v>m2</v>
          </cell>
          <cell r="D192">
            <v>60000</v>
          </cell>
        </row>
        <row r="193">
          <cell r="B193" t="str">
            <v xml:space="preserve">EQUIPO AUTOMÁTICO PARA ALUMBRADO DE EMERGENCIA REFERENCIA ILURAM IL3-2H  </v>
          </cell>
          <cell r="C193" t="str">
            <v>un</v>
          </cell>
          <cell r="D193">
            <v>340000</v>
          </cell>
        </row>
        <row r="194">
          <cell r="B194" t="str">
            <v xml:space="preserve">EQUIPO DE MEDICION  EN MEDIA TENSION </v>
          </cell>
          <cell r="C194" t="str">
            <v>un</v>
          </cell>
          <cell r="D194">
            <v>15500000</v>
          </cell>
        </row>
        <row r="195">
          <cell r="B195" t="str">
            <v>ESGRAFIADO PINTUCO 4 GALONES 30 KG</v>
          </cell>
          <cell r="C195" t="str">
            <v>un</v>
          </cell>
          <cell r="D195">
            <v>65000</v>
          </cell>
        </row>
        <row r="196">
          <cell r="B196" t="str">
            <v>ESMALTE  Sobre lamina lineal Tipo pintulx anoloc verde bronce.</v>
          </cell>
          <cell r="C196" t="str">
            <v>ml</v>
          </cell>
          <cell r="D196">
            <v>4500</v>
          </cell>
        </row>
        <row r="197">
          <cell r="B197" t="str">
            <v>ESMALTE  Sobre lamina llena Tipo pintulx</v>
          </cell>
          <cell r="C197" t="str">
            <v>m2</v>
          </cell>
          <cell r="D197">
            <v>8000</v>
          </cell>
        </row>
        <row r="198">
          <cell r="B198" t="str">
            <v>ESMALTE ANTIHUMEDAD LAVABLE</v>
          </cell>
          <cell r="C198" t="str">
            <v>gl</v>
          </cell>
          <cell r="D198">
            <v>65000</v>
          </cell>
        </row>
        <row r="199">
          <cell r="B199" t="str">
            <v>ESMALTE SINTÉTICO PINTULUX</v>
          </cell>
          <cell r="C199" t="str">
            <v>gl</v>
          </cell>
          <cell r="D199">
            <v>65000</v>
          </cell>
        </row>
        <row r="200">
          <cell r="B200" t="str">
            <v>ESPEJO BORDE BISELADO DE 0.70X1.00</v>
          </cell>
          <cell r="C200" t="str">
            <v>un</v>
          </cell>
          <cell r="D200">
            <v>75000</v>
          </cell>
        </row>
        <row r="201">
          <cell r="B201" t="str">
            <v>ESPEJO DE SEGURIDAD DE 40 CM</v>
          </cell>
          <cell r="C201" t="str">
            <v>un</v>
          </cell>
          <cell r="D201">
            <v>40000</v>
          </cell>
        </row>
        <row r="202">
          <cell r="B202" t="str">
            <v>ESTACAS</v>
          </cell>
          <cell r="C202" t="str">
            <v>un</v>
          </cell>
          <cell r="D202">
            <v>50</v>
          </cell>
        </row>
        <row r="203">
          <cell r="B203" t="str">
            <v>ESTACIUON MANUAL DE APERTURA REF. BDS121/e SIEMENS o similar en marca reconocida</v>
          </cell>
          <cell r="C203" t="str">
            <v>un</v>
          </cell>
          <cell r="D203">
            <v>120000</v>
          </cell>
        </row>
        <row r="204">
          <cell r="B204" t="str">
            <v>ESTRUCTURA CIELORASO DRYWALL(OMEGA-ANGULO-PARAL-TORNILLOS)</v>
          </cell>
          <cell r="C204" t="str">
            <v>m2</v>
          </cell>
          <cell r="D204">
            <v>15000</v>
          </cell>
        </row>
        <row r="205">
          <cell r="B205" t="str">
            <v>ESTRUCTURA CONEXIÓN RED TRENZADA CONJUNTO LA 320</v>
          </cell>
          <cell r="C205" t="str">
            <v>un</v>
          </cell>
          <cell r="D205">
            <v>115000</v>
          </cell>
        </row>
        <row r="206">
          <cell r="B206" t="str">
            <v>ESTRUCTURA CONEXIÓN RED TRENZADA CONJUNTO LA 321</v>
          </cell>
          <cell r="C206" t="str">
            <v>un</v>
          </cell>
          <cell r="D206">
            <v>200000</v>
          </cell>
        </row>
        <row r="207">
          <cell r="B207" t="str">
            <v>ESTRUCTURA CONEXIÓN RED TRENZADA CONJUNTO LA 324</v>
          </cell>
          <cell r="C207" t="str">
            <v>un</v>
          </cell>
          <cell r="D207">
            <v>263500</v>
          </cell>
        </row>
        <row r="208">
          <cell r="B208" t="str">
            <v>ESQUINERO PLASTICO 2m</v>
          </cell>
          <cell r="C208" t="str">
            <v>un</v>
          </cell>
          <cell r="D208">
            <v>3500</v>
          </cell>
        </row>
        <row r="209">
          <cell r="B209" t="str">
            <v>ESTUCO PLASTICO</v>
          </cell>
          <cell r="C209" t="str">
            <v>caneca</v>
          </cell>
          <cell r="D209">
            <v>50000</v>
          </cell>
        </row>
        <row r="210">
          <cell r="B210" t="str">
            <v>ESTUFA CHALLENGER DE EMPOTRAR 4 PUESTOS ELECTRICA</v>
          </cell>
          <cell r="C210" t="str">
            <v>un</v>
          </cell>
          <cell r="D210">
            <v>527684</v>
          </cell>
        </row>
        <row r="211">
          <cell r="B211" t="str">
            <v>ESTUFA DE EMPOTRAR MIXTA 4 PUESTOS</v>
          </cell>
          <cell r="C211" t="str">
            <v>un</v>
          </cell>
          <cell r="D211">
            <v>775000</v>
          </cell>
        </row>
        <row r="212">
          <cell r="B212" t="str">
            <v>ESTUFA ELECTRICA 2 PUESTOS</v>
          </cell>
          <cell r="C212" t="str">
            <v>un</v>
          </cell>
          <cell r="D212">
            <v>285000</v>
          </cell>
        </row>
        <row r="213">
          <cell r="B213" t="str">
            <v>EXTRAXTOR DE OLOR DE 20X20</v>
          </cell>
          <cell r="C213" t="str">
            <v>un</v>
          </cell>
          <cell r="D213">
            <v>162284</v>
          </cell>
        </row>
        <row r="214">
          <cell r="B214" t="str">
            <v>Fachada Closet 4 Ptas Cedro ( Tintillado )</v>
          </cell>
          <cell r="C214" t="str">
            <v>m2</v>
          </cell>
          <cell r="D214">
            <v>300000</v>
          </cell>
        </row>
        <row r="215">
          <cell r="B215" t="str">
            <v>FIJADORES DE ALA</v>
          </cell>
          <cell r="C215" t="str">
            <v>un</v>
          </cell>
          <cell r="D215">
            <v>1200</v>
          </cell>
        </row>
        <row r="216">
          <cell r="B216" t="str">
            <v>FILTRO AEROBICO CON ACC.</v>
          </cell>
          <cell r="C216" t="str">
            <v>un</v>
          </cell>
          <cell r="D216">
            <v>35000</v>
          </cell>
        </row>
        <row r="217">
          <cell r="B217" t="str">
            <v>FILTRO DE DRENAJE 0.5 x 0.5 CON RELLENO EN GRAVILLA DE RIO 3/4" - 1" (SIN EXCAVACIÓN)</v>
          </cell>
          <cell r="C217" t="str">
            <v>ml</v>
          </cell>
          <cell r="D217">
            <v>65000</v>
          </cell>
        </row>
        <row r="218">
          <cell r="B218" t="str">
            <v>FORMALETA ENTREPISOS, con camilla</v>
          </cell>
          <cell r="C218" t="str">
            <v>ms</v>
          </cell>
          <cell r="D218">
            <v>2500</v>
          </cell>
        </row>
        <row r="219">
          <cell r="B219" t="str">
            <v>GANCHOS ANCLAJES TEJA THERMOACUSTICA</v>
          </cell>
          <cell r="C219" t="str">
            <v>M2</v>
          </cell>
          <cell r="D219">
            <v>2000</v>
          </cell>
        </row>
        <row r="220">
          <cell r="B220" t="str">
            <v>GANCHO TEJA ETERNIT 55 mm</v>
          </cell>
          <cell r="C220" t="str">
            <v>un</v>
          </cell>
          <cell r="D220">
            <v>1500</v>
          </cell>
        </row>
        <row r="221">
          <cell r="B221" t="str">
            <v>GEOTEXTIL NO TEJIDO</v>
          </cell>
          <cell r="C221" t="str">
            <v>m2</v>
          </cell>
          <cell r="D221">
            <v>8000</v>
          </cell>
        </row>
        <row r="222">
          <cell r="B222" t="str">
            <v>GEOTEXTIL TR 4000</v>
          </cell>
          <cell r="C222" t="str">
            <v>m2</v>
          </cell>
          <cell r="D222">
            <v>9500</v>
          </cell>
        </row>
        <row r="223">
          <cell r="B223" t="str">
            <v>GRANITO TRAVERTINO</v>
          </cell>
          <cell r="C223" t="str">
            <v>bto</v>
          </cell>
          <cell r="D223">
            <v>18500</v>
          </cell>
        </row>
        <row r="224">
          <cell r="B224" t="str">
            <v xml:space="preserve">GRAVILLA </v>
          </cell>
          <cell r="C224" t="str">
            <v>m3</v>
          </cell>
          <cell r="D224">
            <v>75000</v>
          </cell>
        </row>
        <row r="225">
          <cell r="B225" t="str">
            <v>GRIFERIA AHORRADORA TIPO PUSH</v>
          </cell>
          <cell r="C225" t="str">
            <v>un</v>
          </cell>
          <cell r="D225">
            <v>125000</v>
          </cell>
        </row>
        <row r="226">
          <cell r="B226" t="str">
            <v>GRIFERIA LAVAMANOS LINEA FENIX 4"</v>
          </cell>
          <cell r="C226" t="str">
            <v>un</v>
          </cell>
          <cell r="D226">
            <v>115000</v>
          </cell>
        </row>
        <row r="227">
          <cell r="B227" t="str">
            <v>GUARDAESCOBA EN CERAMICA</v>
          </cell>
          <cell r="C227" t="str">
            <v>ml</v>
          </cell>
          <cell r="D227">
            <v>7500</v>
          </cell>
        </row>
        <row r="228">
          <cell r="B228" t="str">
            <v>GUARDAESCOBA EN GRANADILLO</v>
          </cell>
          <cell r="C228" t="str">
            <v>ml</v>
          </cell>
          <cell r="D228">
            <v>13000</v>
          </cell>
        </row>
        <row r="229">
          <cell r="B229" t="str">
            <v>GRIFERIA LAVAPLATOS GRIVAL LINEA AMARETO</v>
          </cell>
          <cell r="C229" t="str">
            <v>un</v>
          </cell>
          <cell r="D229">
            <v>105000</v>
          </cell>
        </row>
        <row r="230">
          <cell r="B230" t="str">
            <v>GUARDAESCOBA PORCELANATO</v>
          </cell>
          <cell r="C230" t="str">
            <v>ml</v>
          </cell>
          <cell r="D230">
            <v>10000</v>
          </cell>
        </row>
        <row r="231">
          <cell r="B231" t="str">
            <v>IGAS GRIS - Masilla plastica 25210351</v>
          </cell>
          <cell r="C231" t="str">
            <v>kg</v>
          </cell>
          <cell r="D231">
            <v>800</v>
          </cell>
        </row>
        <row r="232">
          <cell r="B232" t="str">
            <v>IMPRIMANTE DE VINILO</v>
          </cell>
          <cell r="C232" t="str">
            <v>gl</v>
          </cell>
          <cell r="D232">
            <v>25000</v>
          </cell>
        </row>
        <row r="233">
          <cell r="B233" t="str">
            <v>HERRAJES MUEBLES MADERA</v>
          </cell>
          <cell r="C233" t="str">
            <v>un</v>
          </cell>
          <cell r="D233">
            <v>8500</v>
          </cell>
        </row>
        <row r="234">
          <cell r="B234" t="str">
            <v>Interior Closet en triplex cedro (Tintillado )</v>
          </cell>
          <cell r="C234" t="str">
            <v>m2</v>
          </cell>
          <cell r="D234">
            <v>65000</v>
          </cell>
        </row>
        <row r="235">
          <cell r="B235" t="str">
            <v>INTERRUPTOR CAJA MOLDEADA 3X40A / 25KA. CALIDAD MERLIN GERIN, SIEMENS O SUPERIOR</v>
          </cell>
          <cell r="C235" t="str">
            <v>un</v>
          </cell>
          <cell r="D235">
            <v>140000</v>
          </cell>
        </row>
        <row r="236">
          <cell r="B236" t="str">
            <v>INTERRUPTOR CAJA MOLDEADA 3X80A / 50KA - 240V.</v>
          </cell>
          <cell r="C236" t="str">
            <v>un</v>
          </cell>
          <cell r="D236">
            <v>410000</v>
          </cell>
        </row>
        <row r="237">
          <cell r="B237" t="str">
            <v>INTERRUPTOR DE TRANSFERENCIA TIPO SECCIONADOR TRIPOLAR</v>
          </cell>
          <cell r="C237" t="str">
            <v>un</v>
          </cell>
          <cell r="D237">
            <v>12900000</v>
          </cell>
        </row>
        <row r="238">
          <cell r="B238" t="str">
            <v xml:space="preserve">INTERRUPTOR DOBLE </v>
          </cell>
          <cell r="C238" t="str">
            <v>un</v>
          </cell>
          <cell r="D238">
            <v>5500</v>
          </cell>
        </row>
        <row r="239">
          <cell r="B239" t="str">
            <v>INTERRUPTOR DOBLE CONMUTABLE</v>
          </cell>
          <cell r="C239" t="str">
            <v>un</v>
          </cell>
          <cell r="D239">
            <v>6500</v>
          </cell>
        </row>
        <row r="240">
          <cell r="B240" t="str">
            <v>INTERRUPTOR ENCHUFABLE DE 2X20  A - 240 v - 10 ka</v>
          </cell>
          <cell r="C240" t="str">
            <v>un</v>
          </cell>
          <cell r="D240">
            <v>18000</v>
          </cell>
        </row>
        <row r="241">
          <cell r="B241" t="str">
            <v>INTERRUPTOR ENCHUFABLE DE 2X30  A - 240 v - 10 ka</v>
          </cell>
          <cell r="C241" t="str">
            <v>un</v>
          </cell>
          <cell r="D241">
            <v>18000</v>
          </cell>
        </row>
        <row r="242">
          <cell r="B242" t="str">
            <v xml:space="preserve">INTERRUPTOR SENCILLO </v>
          </cell>
          <cell r="C242" t="str">
            <v>un</v>
          </cell>
          <cell r="D242">
            <v>7500</v>
          </cell>
        </row>
        <row r="243">
          <cell r="B243" t="str">
            <v>INTERRUPTOR SENCILLO CONMUTABLE CON LUZ PILOTO</v>
          </cell>
          <cell r="C243" t="str">
            <v>un</v>
          </cell>
          <cell r="D243">
            <v>12500</v>
          </cell>
        </row>
        <row r="244">
          <cell r="B244" t="str">
            <v>INTERRUPTOR SENCILLOCON LUZ PILOTO</v>
          </cell>
          <cell r="C244" t="str">
            <v>un</v>
          </cell>
          <cell r="D244">
            <v>8500</v>
          </cell>
        </row>
        <row r="245">
          <cell r="B245" t="str">
            <v>INTERRUPTORES ENCHUFABLES DE 1X15  A - 240 v - 10 ka</v>
          </cell>
          <cell r="C245" t="str">
            <v>un</v>
          </cell>
          <cell r="D245">
            <v>8100</v>
          </cell>
        </row>
        <row r="246">
          <cell r="B246" t="str">
            <v>INTERRUPTORES ENCHUFABLES DE 1X20  A - 240 v - 10 kA</v>
          </cell>
          <cell r="C246" t="str">
            <v>un</v>
          </cell>
          <cell r="D246">
            <v>8100</v>
          </cell>
        </row>
        <row r="247">
          <cell r="B247" t="str">
            <v>INTERRUPTORES ENCHUFABLES DE 3X30  A - 240 v - 10 ka</v>
          </cell>
          <cell r="C247" t="str">
            <v>un</v>
          </cell>
          <cell r="D247">
            <v>50000</v>
          </cell>
        </row>
        <row r="248">
          <cell r="B248" t="str">
            <v>Jabonera - GRIVAL</v>
          </cell>
          <cell r="C248" t="str">
            <v>un</v>
          </cell>
          <cell r="D248">
            <v>70000</v>
          </cell>
        </row>
        <row r="249">
          <cell r="B249" t="str">
            <v>Jabonera Ducha - GRIVAL</v>
          </cell>
          <cell r="C249" t="str">
            <v>un</v>
          </cell>
          <cell r="D249">
            <v>65000</v>
          </cell>
        </row>
        <row r="250">
          <cell r="B250" t="str">
            <v>KORAZA Pintuco</v>
          </cell>
          <cell r="C250" t="str">
            <v>gl</v>
          </cell>
          <cell r="D250">
            <v>30000</v>
          </cell>
        </row>
        <row r="251">
          <cell r="B251" t="str">
            <v>LACA</v>
          </cell>
          <cell r="C251" t="str">
            <v>gl</v>
          </cell>
          <cell r="D251">
            <v>45000</v>
          </cell>
        </row>
        <row r="252">
          <cell r="B252" t="str">
            <v>LACA PARA MADERA</v>
          </cell>
          <cell r="C252" t="str">
            <v>gl</v>
          </cell>
          <cell r="D252">
            <v>50000</v>
          </cell>
        </row>
        <row r="253">
          <cell r="B253" t="str">
            <v>LADRILLO PORTANTE 12X29X9</v>
          </cell>
          <cell r="C253" t="str">
            <v>un</v>
          </cell>
          <cell r="D253">
            <v>1050</v>
          </cell>
        </row>
        <row r="254">
          <cell r="B254" t="str">
            <v>Ladrillo Prensado</v>
          </cell>
          <cell r="C254" t="str">
            <v>un</v>
          </cell>
          <cell r="D254">
            <v>650</v>
          </cell>
        </row>
        <row r="255">
          <cell r="B255" t="str">
            <v>LADRILLO RECOCIDO</v>
          </cell>
          <cell r="C255" t="str">
            <v>un</v>
          </cell>
          <cell r="D255">
            <v>450</v>
          </cell>
        </row>
        <row r="256">
          <cell r="B256" t="str">
            <v>LADRILLO TOLETE COMUN RECOCIDO</v>
          </cell>
          <cell r="C256" t="str">
            <v>un</v>
          </cell>
          <cell r="D256">
            <v>350</v>
          </cell>
        </row>
        <row r="257">
          <cell r="B257" t="str">
            <v>LÁMINA COLD ROLLED Cal.16 (1.22x 2.44 )</v>
          </cell>
          <cell r="C257" t="str">
            <v>un</v>
          </cell>
          <cell r="D257">
            <v>170000</v>
          </cell>
        </row>
        <row r="258">
          <cell r="B258" t="str">
            <v xml:space="preserve">LÁMINA COLD ROLLED Cal.18 </v>
          </cell>
          <cell r="C258" t="str">
            <v>un</v>
          </cell>
          <cell r="D258">
            <v>105000</v>
          </cell>
        </row>
        <row r="259">
          <cell r="B259" t="str">
            <v>LÁMINA COLD ROLLED Cal.18 (1.22x 2.44 )</v>
          </cell>
          <cell r="C259" t="str">
            <v>un</v>
          </cell>
          <cell r="D259">
            <v>56000</v>
          </cell>
        </row>
        <row r="260">
          <cell r="B260" t="str">
            <v>LÁMINA COLD ROLLED Cal.20 (1.00x 2.00 )</v>
          </cell>
          <cell r="C260" t="str">
            <v>un</v>
          </cell>
          <cell r="D260">
            <v>30100</v>
          </cell>
        </row>
        <row r="261">
          <cell r="B261" t="str">
            <v>LÁMINA COLD ROLLED Cal.20 (1.22x 2.44 )</v>
          </cell>
          <cell r="C261" t="str">
            <v>un</v>
          </cell>
          <cell r="D261">
            <v>40600</v>
          </cell>
        </row>
        <row r="262">
          <cell r="B262" t="str">
            <v>LAMINA DE ACRILICO DE 0.60X2.44 DE 1.80 mm</v>
          </cell>
          <cell r="C262" t="str">
            <v>un</v>
          </cell>
          <cell r="D262">
            <v>30100</v>
          </cell>
        </row>
        <row r="263">
          <cell r="B263" t="str">
            <v>LAMINA COLABORANTE METALDECK 2" GRADO 40 CAL 22</v>
          </cell>
          <cell r="C263" t="str">
            <v>m2</v>
          </cell>
          <cell r="D263">
            <v>26000</v>
          </cell>
        </row>
        <row r="264">
          <cell r="B264" t="str">
            <v>LAMINA DE ACRILICO DE 1.20X1.80 DE 3.0 mm con color</v>
          </cell>
          <cell r="C264" t="str">
            <v>un</v>
          </cell>
          <cell r="D264">
            <v>45000</v>
          </cell>
        </row>
        <row r="265">
          <cell r="B265" t="str">
            <v>LAMINA DE ACRILICO DE 1.20X1.80 DE 3.0 mm sin color</v>
          </cell>
          <cell r="C265" t="str">
            <v>un</v>
          </cell>
          <cell r="D265">
            <v>64000</v>
          </cell>
        </row>
        <row r="266">
          <cell r="B266" t="str">
            <v>LAMINA DE ACRILICO DE 1.20X1.80 DE 3.00 mm</v>
          </cell>
          <cell r="C266" t="str">
            <v>un</v>
          </cell>
          <cell r="D266">
            <v>100000</v>
          </cell>
        </row>
        <row r="267">
          <cell r="B267" t="str">
            <v>LAMINA DRY WALL 1.22X2.44</v>
          </cell>
          <cell r="C267" t="str">
            <v>un</v>
          </cell>
          <cell r="D267">
            <v>22500</v>
          </cell>
        </row>
        <row r="268">
          <cell r="B268" t="str">
            <v>LAMINA EN ACRILICO DE 0.61X2,44 DE 1,8 mm</v>
          </cell>
          <cell r="C268" t="str">
            <v>un</v>
          </cell>
          <cell r="D268">
            <v>28000</v>
          </cell>
        </row>
        <row r="269">
          <cell r="B269" t="str">
            <v>LAMINA GALVANIZADA DE 1.00X2.00 CAL  22</v>
          </cell>
          <cell r="C269" t="str">
            <v>un</v>
          </cell>
          <cell r="D269">
            <v>32900</v>
          </cell>
        </row>
        <row r="270">
          <cell r="B270" t="str">
            <v>LAMINA GALVANIZADA DE 1.00X2.00 CAL  24</v>
          </cell>
          <cell r="C270" t="str">
            <v>un</v>
          </cell>
          <cell r="D270">
            <v>25500</v>
          </cell>
        </row>
        <row r="271">
          <cell r="B271" t="str">
            <v>LAMINA GALVANIZADA DE 1.00X2.00 CAL  26</v>
          </cell>
          <cell r="C271" t="str">
            <v>un</v>
          </cell>
          <cell r="D271">
            <v>19500</v>
          </cell>
        </row>
        <row r="272">
          <cell r="B272" t="str">
            <v>LAMINA GALVANIZADA DE 1.22X2.44 CAL  22</v>
          </cell>
          <cell r="C272" t="str">
            <v>un</v>
          </cell>
          <cell r="D272">
            <v>60000</v>
          </cell>
        </row>
        <row r="273">
          <cell r="B273" t="str">
            <v>LAMINA SUPERBOARD 1.22X2.44</v>
          </cell>
          <cell r="C273" t="str">
            <v>un</v>
          </cell>
          <cell r="D273">
            <v>38500</v>
          </cell>
        </row>
        <row r="274">
          <cell r="B274" t="str">
            <v>LIMATESA ETERNIT P7 L=1.14</v>
          </cell>
          <cell r="C274" t="str">
            <v>un</v>
          </cell>
          <cell r="D274">
            <v>15000</v>
          </cell>
        </row>
        <row r="275">
          <cell r="B275" t="str">
            <v>LAMINAS DURACUSTIC</v>
          </cell>
          <cell r="C275" t="str">
            <v>m2</v>
          </cell>
          <cell r="D275">
            <v>25000</v>
          </cell>
        </row>
        <row r="276">
          <cell r="B276" t="str">
            <v>LAMINAS EN ACRILICO DE 60X60</v>
          </cell>
          <cell r="C276" t="str">
            <v>un</v>
          </cell>
          <cell r="D276">
            <v>9500</v>
          </cell>
        </row>
        <row r="277">
          <cell r="B277" t="str">
            <v>LAMPARA DE 2x32</v>
          </cell>
          <cell r="C277" t="str">
            <v>un</v>
          </cell>
          <cell r="D277">
            <v>125000</v>
          </cell>
        </row>
        <row r="278">
          <cell r="B278" t="str">
            <v xml:space="preserve">Lampara para luminaria - sodio 150 WATTS. </v>
          </cell>
          <cell r="C278" t="str">
            <v>un</v>
          </cell>
          <cell r="D278">
            <v>40000</v>
          </cell>
        </row>
        <row r="279">
          <cell r="B279" t="str">
            <v>LAMPARA TIPO INCANDESCENTE DE 32 W</v>
          </cell>
          <cell r="C279" t="str">
            <v>un</v>
          </cell>
          <cell r="D279">
            <v>45000</v>
          </cell>
        </row>
        <row r="280">
          <cell r="B280" t="str">
            <v>LAMPARA OJO DE BUEY</v>
          </cell>
          <cell r="C280" t="str">
            <v>un</v>
          </cell>
          <cell r="D280">
            <v>45000</v>
          </cell>
        </row>
        <row r="281">
          <cell r="B281" t="str">
            <v>LAVAMANOS DE INCRUSTAR LINEA SAN LORENZO</v>
          </cell>
          <cell r="C281" t="str">
            <v>un</v>
          </cell>
          <cell r="D281">
            <v>160000</v>
          </cell>
        </row>
        <row r="282">
          <cell r="B282" t="str">
            <v>LAVAPLATOS EN ACERO</v>
          </cell>
          <cell r="C282" t="str">
            <v>un</v>
          </cell>
          <cell r="D282">
            <v>95000</v>
          </cell>
        </row>
        <row r="283">
          <cell r="B283" t="str">
            <v>LIJA</v>
          </cell>
          <cell r="C283" t="str">
            <v>un</v>
          </cell>
          <cell r="D283">
            <v>2000</v>
          </cell>
        </row>
        <row r="284">
          <cell r="B284" t="str">
            <v xml:space="preserve">LIJA </v>
          </cell>
          <cell r="C284" t="str">
            <v>un</v>
          </cell>
          <cell r="D284">
            <v>2000</v>
          </cell>
        </row>
        <row r="285">
          <cell r="B285" t="str">
            <v>LIMPIADOR PVC DE 1/4</v>
          </cell>
          <cell r="C285" t="str">
            <v>un</v>
          </cell>
          <cell r="D285">
            <v>25000</v>
          </cell>
        </row>
        <row r="286">
          <cell r="B286" t="str">
            <v>LISTON ORDINARIO</v>
          </cell>
          <cell r="C286" t="str">
            <v>ml</v>
          </cell>
          <cell r="D286">
            <v>1500</v>
          </cell>
        </row>
        <row r="287">
          <cell r="B287" t="str">
            <v>LISTÓN CEDRO MACHO 5x2 cm.</v>
          </cell>
          <cell r="C287" t="str">
            <v>ml</v>
          </cell>
          <cell r="D287">
            <v>3500</v>
          </cell>
        </row>
        <row r="288">
          <cell r="B288" t="str">
            <v>LISTON EN OTOBO PARA CIELORRASO</v>
          </cell>
          <cell r="C288" t="str">
            <v>m2</v>
          </cell>
          <cell r="D288">
            <v>55000</v>
          </cell>
        </row>
        <row r="289">
          <cell r="B289" t="str">
            <v>LLAVE MANGUERA DE 1/2"</v>
          </cell>
          <cell r="C289" t="str">
            <v>un</v>
          </cell>
          <cell r="D289">
            <v>20000</v>
          </cell>
        </row>
        <row r="290">
          <cell r="B290" t="str">
            <v>LLAVE PARA URINARIO</v>
          </cell>
          <cell r="C290" t="str">
            <v>un</v>
          </cell>
          <cell r="D290">
            <v>65000</v>
          </cell>
        </row>
        <row r="291">
          <cell r="B291" t="str">
            <v>LOCKER METALICO DE 0.45X2.00</v>
          </cell>
          <cell r="C291" t="str">
            <v>un</v>
          </cell>
          <cell r="D291">
            <v>225000</v>
          </cell>
        </row>
        <row r="292">
          <cell r="B292" t="str">
            <v>LOGO ACUEDUCTO EN ACERO DE 2.00X0.80</v>
          </cell>
          <cell r="C292" t="str">
            <v>un</v>
          </cell>
          <cell r="D292">
            <v>2500000</v>
          </cell>
        </row>
        <row r="293">
          <cell r="B293" t="str">
            <v>Luminaria abierta tipo INDULUX AA Sodio 400 WATTS.Pantalla de aluminio o policarbonato prismático, 633mmX482mm</v>
          </cell>
          <cell r="C293" t="str">
            <v>un</v>
          </cell>
          <cell r="D293">
            <v>265000</v>
          </cell>
        </row>
        <row r="294">
          <cell r="B294" t="str">
            <v xml:space="preserve">Luminaria completa fluorescente  TMS028 2xTL-D36W HFS 20 CMx 120 cm 120 voltios. </v>
          </cell>
          <cell r="C294" t="str">
            <v>un</v>
          </cell>
          <cell r="D294">
            <v>110000</v>
          </cell>
        </row>
        <row r="295">
          <cell r="B295" t="str">
            <v>Luminaria horizontal cerrada carcaza enteriza Sodio de alta presion  Potencia: 150W 208/220 Voltios . Incluye lampara y fotocelda</v>
          </cell>
          <cell r="C295" t="str">
            <v>un</v>
          </cell>
          <cell r="D295">
            <v>265000</v>
          </cell>
        </row>
        <row r="296">
          <cell r="B296" t="str">
            <v>LUMINARIA HORIZONTAL CERRADA DE 150 VATIOS-BOMBILLO SODIO ALTA PRESION</v>
          </cell>
          <cell r="C296" t="str">
            <v>un</v>
          </cell>
          <cell r="D296">
            <v>287500</v>
          </cell>
        </row>
        <row r="297">
          <cell r="B297" t="str">
            <v>LUMINARIA HORIZONTAL CERRADA DE 70 VATIOS-BOMBILLO SODIO ALTA PRESION</v>
          </cell>
          <cell r="C297" t="str">
            <v>un</v>
          </cell>
          <cell r="D297">
            <v>248000</v>
          </cell>
        </row>
        <row r="298">
          <cell r="B298" t="str">
            <v xml:space="preserve">Luminaria tipo reflector ROY ALHPA Ref: QUIMBAYA 70 WATTS 208 V. </v>
          </cell>
          <cell r="C298" t="str">
            <v>un</v>
          </cell>
          <cell r="D298">
            <v>120000</v>
          </cell>
        </row>
        <row r="299">
          <cell r="B299" t="str">
            <v>MADERA GRANADILLO</v>
          </cell>
          <cell r="C299" t="str">
            <v>m2</v>
          </cell>
          <cell r="D299">
            <v>85000</v>
          </cell>
        </row>
        <row r="300">
          <cell r="B300" t="str">
            <v xml:space="preserve">MALLA ELECTROSOLDADA </v>
          </cell>
          <cell r="C300" t="str">
            <v>kg</v>
          </cell>
          <cell r="D300">
            <v>2700</v>
          </cell>
        </row>
        <row r="301">
          <cell r="B301" t="str">
            <v>MALLA ELECTROSOLDADA M-084</v>
          </cell>
          <cell r="C301" t="str">
            <v>m2</v>
          </cell>
          <cell r="D301">
            <v>3900</v>
          </cell>
        </row>
        <row r="302">
          <cell r="B302" t="str">
            <v xml:space="preserve">MALLA ELECTROSOLDADA  6mm 15X15  6.00X2.35  42.20 KG </v>
          </cell>
          <cell r="C302" t="str">
            <v>un</v>
          </cell>
          <cell r="D302">
            <v>120000</v>
          </cell>
        </row>
        <row r="303">
          <cell r="B303" t="str">
            <v>MALLA PROTECCION Ancho = 4 m</v>
          </cell>
          <cell r="C303" t="str">
            <v>ml</v>
          </cell>
          <cell r="D303">
            <v>4500</v>
          </cell>
        </row>
        <row r="304">
          <cell r="B304" t="str">
            <v>MALLA GALLINERO</v>
          </cell>
          <cell r="C304" t="str">
            <v>m2</v>
          </cell>
          <cell r="D304">
            <v>1200</v>
          </cell>
        </row>
        <row r="305">
          <cell r="B305" t="str">
            <v>MALLA ONDULADA CAL 10 DE 1 1/2" x 1 1/2"</v>
          </cell>
          <cell r="C305" t="str">
            <v>m2</v>
          </cell>
          <cell r="D305">
            <v>30000</v>
          </cell>
        </row>
        <row r="306">
          <cell r="B306" t="str">
            <v>MALLA ONDULADA Cal. 12 1 1/2" (Alambre galv.)</v>
          </cell>
          <cell r="C306" t="str">
            <v>m2</v>
          </cell>
          <cell r="D306">
            <v>35000</v>
          </cell>
        </row>
        <row r="307">
          <cell r="B307" t="str">
            <v>MALLA ONDULADA Cal. 8 1 3/4" (Alambre galv.)</v>
          </cell>
          <cell r="C307" t="str">
            <v>m2</v>
          </cell>
          <cell r="D307">
            <v>32500</v>
          </cell>
        </row>
        <row r="308">
          <cell r="B308" t="str">
            <v>MANGUERA FLEXIBLE DE CONEXIÓN</v>
          </cell>
          <cell r="C308" t="str">
            <v>un</v>
          </cell>
          <cell r="D308">
            <v>15000</v>
          </cell>
        </row>
        <row r="309">
          <cell r="B309" t="str">
            <v>MANGUERAS DE LUCES TIPO AMERICANA</v>
          </cell>
          <cell r="C309" t="str">
            <v>ml</v>
          </cell>
          <cell r="D309">
            <v>30000</v>
          </cell>
        </row>
        <row r="310">
          <cell r="B310" t="str">
            <v>MANIJA VENTANA METALICA</v>
          </cell>
          <cell r="C310" t="str">
            <v>un</v>
          </cell>
          <cell r="D310">
            <v>1500</v>
          </cell>
        </row>
        <row r="311">
          <cell r="B311" t="str">
            <v>MANIOBRA DE TRANSFORMADOR</v>
          </cell>
          <cell r="C311" t="str">
            <v>un</v>
          </cell>
          <cell r="D311">
            <v>200000</v>
          </cell>
        </row>
        <row r="313">
          <cell r="B313" t="str">
            <v>MANTO ASFALTICO 10 M2</v>
          </cell>
          <cell r="C313" t="str">
            <v>rollo</v>
          </cell>
          <cell r="D313">
            <v>110000</v>
          </cell>
        </row>
        <row r="314">
          <cell r="B314" t="str">
            <v>MARCO CAJA INSP. 40 x 40</v>
          </cell>
          <cell r="C314" t="str">
            <v>un</v>
          </cell>
          <cell r="D314">
            <v>25000</v>
          </cell>
        </row>
        <row r="315">
          <cell r="B315" t="str">
            <v>MARCO CAJA INSP. 60 x 60</v>
          </cell>
          <cell r="C315" t="str">
            <v>un</v>
          </cell>
          <cell r="D315">
            <v>30000</v>
          </cell>
        </row>
        <row r="316">
          <cell r="B316" t="str">
            <v>MARCO EN ACERO PARA TAPA CAJA CS 276</v>
          </cell>
          <cell r="C316" t="str">
            <v>un</v>
          </cell>
          <cell r="D316">
            <v>180000</v>
          </cell>
        </row>
        <row r="317">
          <cell r="B317" t="str">
            <v>MARCO PUERTA MADERA</v>
          </cell>
          <cell r="C317" t="str">
            <v>un</v>
          </cell>
          <cell r="D317">
            <v>90000</v>
          </cell>
        </row>
        <row r="318">
          <cell r="B318" t="str">
            <v>MARCO PUERTA METALICA</v>
          </cell>
          <cell r="C318" t="str">
            <v>ml</v>
          </cell>
          <cell r="D318">
            <v>14500</v>
          </cell>
        </row>
        <row r="319">
          <cell r="B319" t="str">
            <v>MARCO SENCILLO EN ANGULO EN ACERO A-37</v>
          </cell>
          <cell r="C319" t="str">
            <v>un</v>
          </cell>
          <cell r="D319">
            <v>85000</v>
          </cell>
        </row>
        <row r="320">
          <cell r="B320" t="str">
            <v>MARCO VENTANA METALICA</v>
          </cell>
          <cell r="C320" t="str">
            <v>ml</v>
          </cell>
          <cell r="D320">
            <v>11500</v>
          </cell>
        </row>
        <row r="321">
          <cell r="B321" t="str">
            <v>MARCO Y CONTRAMARCO</v>
          </cell>
          <cell r="C321" t="str">
            <v>un</v>
          </cell>
          <cell r="D321">
            <v>100000</v>
          </cell>
        </row>
        <row r="322">
          <cell r="B322" t="str">
            <v>MARCO Y TAPA EN ALFAJOR DE 0,30X0,30</v>
          </cell>
          <cell r="C322" t="str">
            <v>un</v>
          </cell>
          <cell r="D322">
            <v>95000</v>
          </cell>
        </row>
        <row r="323">
          <cell r="B323" t="str">
            <v>MARMOLINA</v>
          </cell>
          <cell r="C323" t="str">
            <v>bto</v>
          </cell>
          <cell r="D323">
            <v>18500</v>
          </cell>
        </row>
        <row r="324">
          <cell r="B324" t="str">
            <v xml:space="preserve">MASILLA </v>
          </cell>
          <cell r="C324" t="str">
            <v>gl</v>
          </cell>
          <cell r="D324">
            <v>12500</v>
          </cell>
        </row>
        <row r="325">
          <cell r="B325" t="str">
            <v>MASTIL EN TUBO CONDUIT GALVANIZADO DE Ø1</v>
          </cell>
          <cell r="C325" t="str">
            <v>un</v>
          </cell>
          <cell r="D325">
            <v>40000</v>
          </cell>
        </row>
        <row r="326">
          <cell r="B326" t="str">
            <v>MASTIQUE PARA JUNTAS</v>
          </cell>
          <cell r="C326" t="str">
            <v>gl</v>
          </cell>
          <cell r="D326">
            <v>18500</v>
          </cell>
        </row>
        <row r="327">
          <cell r="B327" t="str">
            <v>MATERIAL GRANULAR</v>
          </cell>
          <cell r="C327" t="str">
            <v>m3</v>
          </cell>
          <cell r="D327">
            <v>25000</v>
          </cell>
        </row>
        <row r="328">
          <cell r="B328" t="str">
            <v>MEDIDOR DE 1/2"</v>
          </cell>
          <cell r="C328" t="str">
            <v>un</v>
          </cell>
          <cell r="D328">
            <v>68000</v>
          </cell>
        </row>
        <row r="329">
          <cell r="B329" t="str">
            <v>MEDIDOR DE AGUA      1/2"</v>
          </cell>
          <cell r="C329" t="str">
            <v>un</v>
          </cell>
          <cell r="D329">
            <v>68000</v>
          </cell>
        </row>
        <row r="330">
          <cell r="B330" t="str">
            <v>MEDIDOR TRIFASICO TETRAFILAR 50(150)A 208-120V;</v>
          </cell>
          <cell r="C330" t="str">
            <v>un</v>
          </cell>
          <cell r="D330">
            <v>1150000</v>
          </cell>
        </row>
        <row r="331">
          <cell r="B331" t="str">
            <v>MEDIDORES DE 4"</v>
          </cell>
          <cell r="C331" t="str">
            <v>un</v>
          </cell>
          <cell r="D331">
            <v>1800000</v>
          </cell>
        </row>
        <row r="332">
          <cell r="B332" t="str">
            <v>MESON EN ACERO INOXIDABLE DE 60 cm CAL 20</v>
          </cell>
          <cell r="C332" t="str">
            <v>ml</v>
          </cell>
          <cell r="D332">
            <v>300000</v>
          </cell>
        </row>
        <row r="333">
          <cell r="B333" t="str">
            <v xml:space="preserve">MEZCLADOR LAVAPLATOS </v>
          </cell>
          <cell r="C333" t="str">
            <v>un</v>
          </cell>
          <cell r="D333">
            <v>245000</v>
          </cell>
        </row>
        <row r="334">
          <cell r="B334" t="str">
            <v>MINISPLIT LG 18000 BTU</v>
          </cell>
          <cell r="C334" t="str">
            <v>un</v>
          </cell>
          <cell r="D334">
            <v>1700000</v>
          </cell>
        </row>
        <row r="335">
          <cell r="B335" t="str">
            <v>MORTERO 1:3 ( arena semilavada de peña )</v>
          </cell>
          <cell r="C335" t="str">
            <v>m3</v>
          </cell>
          <cell r="D335">
            <v>245000</v>
          </cell>
        </row>
        <row r="336">
          <cell r="B336" t="str">
            <v>MORTERO 1:4 ( arena semilavada )</v>
          </cell>
          <cell r="C336" t="str">
            <v>m3</v>
          </cell>
          <cell r="D336">
            <v>225000</v>
          </cell>
        </row>
        <row r="337">
          <cell r="B337" t="str">
            <v>MORTERO 1:3 IMPERMEABILIZADO</v>
          </cell>
          <cell r="C337" t="str">
            <v>m3</v>
          </cell>
          <cell r="D337">
            <v>265000</v>
          </cell>
        </row>
        <row r="338">
          <cell r="B338" t="str">
            <v>MORTERO 1:5</v>
          </cell>
          <cell r="C338" t="str">
            <v>m3</v>
          </cell>
          <cell r="D338">
            <v>215000</v>
          </cell>
        </row>
        <row r="339">
          <cell r="B339" t="str">
            <v>MURO EN LADRILLO TOLETE COMUN EN 0.125 CON PEGA DE MORTERO 1:5</v>
          </cell>
          <cell r="C339" t="str">
            <v>m2</v>
          </cell>
          <cell r="D339">
            <v>38000</v>
          </cell>
        </row>
        <row r="340">
          <cell r="B340" t="str">
            <v>NIPLE GALAVANIZADO DE 4" SH 40</v>
          </cell>
          <cell r="C340" t="str">
            <v>un</v>
          </cell>
          <cell r="D340">
            <v>69600</v>
          </cell>
        </row>
        <row r="341">
          <cell r="B341" t="str">
            <v>ORINAL MEDIANO BLANCO PORCELANA</v>
          </cell>
          <cell r="C341" t="str">
            <v>un</v>
          </cell>
          <cell r="D341">
            <v>195000</v>
          </cell>
        </row>
        <row r="342">
          <cell r="B342" t="str">
            <v>PABMERIL PLIEGO 9" x 11"</v>
          </cell>
          <cell r="C342" t="str">
            <v>un</v>
          </cell>
          <cell r="D342">
            <v>2000</v>
          </cell>
        </row>
        <row r="343">
          <cell r="B343" t="str">
            <v>PARLANTE</v>
          </cell>
          <cell r="C343" t="str">
            <v>un</v>
          </cell>
          <cell r="D343">
            <v>250000</v>
          </cell>
        </row>
        <row r="344">
          <cell r="B344" t="str">
            <v xml:space="preserve">PALETAS REFLECTIVAS DE SEÑALIZACION -CONOS-CINTA SEÑALI </v>
          </cell>
          <cell r="C344" t="str">
            <v>gl</v>
          </cell>
          <cell r="D344">
            <v>200000</v>
          </cell>
        </row>
        <row r="345">
          <cell r="B345" t="str">
            <v>PASTO</v>
          </cell>
          <cell r="C345" t="str">
            <v>m2</v>
          </cell>
          <cell r="D345">
            <v>3000</v>
          </cell>
        </row>
        <row r="346">
          <cell r="B346" t="str">
            <v>PEGACOR BLANCO</v>
          </cell>
          <cell r="C346" t="str">
            <v>kg</v>
          </cell>
          <cell r="D346">
            <v>1000</v>
          </cell>
        </row>
        <row r="347">
          <cell r="B347" t="str">
            <v>PEGACOR E-50</v>
          </cell>
          <cell r="C347" t="str">
            <v>kg</v>
          </cell>
          <cell r="D347">
            <v>800</v>
          </cell>
        </row>
        <row r="348">
          <cell r="B348" t="str">
            <v>PEGANTE PARA GAS FUERZA MEDIA</v>
          </cell>
          <cell r="C348" t="str">
            <v>un</v>
          </cell>
          <cell r="D348">
            <v>5000</v>
          </cell>
        </row>
        <row r="349">
          <cell r="B349" t="str">
            <v>PELICULA SAN BLASTING</v>
          </cell>
          <cell r="C349" t="str">
            <v>m2</v>
          </cell>
          <cell r="D349">
            <v>20000</v>
          </cell>
        </row>
        <row r="350">
          <cell r="B350" t="str">
            <v>Percha simple - GRIVAL</v>
          </cell>
          <cell r="C350" t="str">
            <v>un</v>
          </cell>
          <cell r="D350">
            <v>40000</v>
          </cell>
        </row>
        <row r="351">
          <cell r="B351" t="str">
            <v>PERFIL ALN 173 DE 6 mts</v>
          </cell>
          <cell r="C351" t="str">
            <v>un</v>
          </cell>
          <cell r="D351">
            <v>40000</v>
          </cell>
        </row>
        <row r="352">
          <cell r="B352" t="str">
            <v>PERFIL ALN 177 DE 6 mts</v>
          </cell>
          <cell r="C352" t="str">
            <v>un</v>
          </cell>
          <cell r="D352">
            <v>25000</v>
          </cell>
        </row>
        <row r="353">
          <cell r="B353" t="str">
            <v>PERFIL ALN 292 DE 6 mts</v>
          </cell>
          <cell r="C353" t="str">
            <v>un</v>
          </cell>
          <cell r="D353">
            <v>75000</v>
          </cell>
        </row>
        <row r="354">
          <cell r="B354" t="str">
            <v>PERFIL ESTRUCTURAL EN C 160*60 1.5mm</v>
          </cell>
          <cell r="C354" t="str">
            <v>kg</v>
          </cell>
          <cell r="D354">
            <v>7000</v>
          </cell>
        </row>
        <row r="355">
          <cell r="B355" t="str">
            <v>PIBOTES, RODACHINES, PARALES, OMEGAS</v>
          </cell>
          <cell r="C355" t="str">
            <v>m2</v>
          </cell>
          <cell r="D355">
            <v>25000</v>
          </cell>
        </row>
        <row r="356">
          <cell r="B356" t="str">
            <v>PIEDRA ESMERIL</v>
          </cell>
          <cell r="C356" t="str">
            <v>un</v>
          </cell>
          <cell r="D356">
            <v>40000</v>
          </cell>
        </row>
        <row r="357">
          <cell r="B357" t="str">
            <v>PIEDRA MEDIA ZONGA</v>
          </cell>
          <cell r="C357" t="str">
            <v>m3</v>
          </cell>
          <cell r="D357">
            <v>35000</v>
          </cell>
        </row>
        <row r="358">
          <cell r="B358" t="str">
            <v>PIEDRA RAJON</v>
          </cell>
          <cell r="C358" t="str">
            <v>m3</v>
          </cell>
          <cell r="D358">
            <v>70000</v>
          </cell>
        </row>
        <row r="359">
          <cell r="B359" t="str">
            <v>PINTURA ACRILTEX</v>
          </cell>
          <cell r="C359" t="str">
            <v>gl</v>
          </cell>
          <cell r="D359">
            <v>94500</v>
          </cell>
        </row>
        <row r="360">
          <cell r="B360" t="str">
            <v>PINTURA Electrostatica (poliester gris )</v>
          </cell>
          <cell r="C360" t="str">
            <v>m2</v>
          </cell>
          <cell r="D360">
            <v>50000</v>
          </cell>
        </row>
        <row r="361">
          <cell r="B361" t="str">
            <v>PINTURA EPOXICA</v>
          </cell>
          <cell r="C361" t="str">
            <v>gl</v>
          </cell>
          <cell r="D361">
            <v>85000</v>
          </cell>
        </row>
        <row r="362">
          <cell r="B362" t="str">
            <v>PINTURA KORAZA</v>
          </cell>
          <cell r="C362" t="str">
            <v>gl</v>
          </cell>
          <cell r="D362">
            <v>60000</v>
          </cell>
        </row>
        <row r="363">
          <cell r="B363" t="str">
            <v>PINTURA BITUMINOSA</v>
          </cell>
          <cell r="C363" t="str">
            <v>gl</v>
          </cell>
          <cell r="D363">
            <v>70000</v>
          </cell>
        </row>
        <row r="364">
          <cell r="B364" t="str">
            <v>PINTURA VINILO TIPO 1</v>
          </cell>
          <cell r="C364" t="str">
            <v>gl</v>
          </cell>
          <cell r="D364">
            <v>60000</v>
          </cell>
        </row>
        <row r="365">
          <cell r="B365" t="str">
            <v>PISO EN CERAMICA DE 30X30</v>
          </cell>
          <cell r="C365" t="str">
            <v>m2</v>
          </cell>
          <cell r="D365">
            <v>28500</v>
          </cell>
        </row>
        <row r="366">
          <cell r="B366" t="str">
            <v>PISO EN MADERA GRANADILLO</v>
          </cell>
          <cell r="C366" t="str">
            <v>m2</v>
          </cell>
          <cell r="D366">
            <v>120000</v>
          </cell>
        </row>
        <row r="367">
          <cell r="B367" t="str">
            <v>PINTURA VINILO TIPO 2</v>
          </cell>
          <cell r="C367" t="str">
            <v>gl</v>
          </cell>
          <cell r="D367">
            <v>40000</v>
          </cell>
        </row>
        <row r="368">
          <cell r="B368" t="str">
            <v>PISO PORCELANATO</v>
          </cell>
          <cell r="C368" t="str">
            <v>m2</v>
          </cell>
          <cell r="D368">
            <v>52500</v>
          </cell>
        </row>
        <row r="369">
          <cell r="B369" t="str">
            <v>Porta rollos - GRIVAL Línea STYLO,</v>
          </cell>
          <cell r="C369" t="str">
            <v>un</v>
          </cell>
          <cell r="D369">
            <v>60000</v>
          </cell>
        </row>
        <row r="370">
          <cell r="B370" t="str">
            <v>PLATINA DE  1/2" * 1/8</v>
          </cell>
          <cell r="C370" t="str">
            <v>un</v>
          </cell>
          <cell r="D370">
            <v>6000</v>
          </cell>
        </row>
        <row r="371">
          <cell r="B371" t="str">
            <v xml:space="preserve">PLATINA DE  3/4" </v>
          </cell>
          <cell r="C371" t="str">
            <v>un</v>
          </cell>
          <cell r="D371">
            <v>7500</v>
          </cell>
        </row>
        <row r="372">
          <cell r="B372" t="str">
            <v>PLATINA DE  3/4" X 1/8"</v>
          </cell>
          <cell r="C372" t="str">
            <v>ml</v>
          </cell>
          <cell r="D372">
            <v>2000</v>
          </cell>
        </row>
        <row r="373">
          <cell r="B373" t="str">
            <v>POLIETILENO No. 4</v>
          </cell>
          <cell r="C373" t="str">
            <v>m2</v>
          </cell>
          <cell r="D373">
            <v>2500</v>
          </cell>
        </row>
        <row r="374">
          <cell r="B374" t="str">
            <v>POLIETILENO No. 6</v>
          </cell>
          <cell r="C374" t="str">
            <v>m2</v>
          </cell>
          <cell r="D374">
            <v>2800</v>
          </cell>
        </row>
        <row r="375">
          <cell r="B375" t="str">
            <v>PRIMER ANTICORROSIVO</v>
          </cell>
          <cell r="C375" t="str">
            <v>gl</v>
          </cell>
          <cell r="D375">
            <v>61700</v>
          </cell>
        </row>
        <row r="376">
          <cell r="B376" t="str">
            <v>PUNTILLA 3/4"</v>
          </cell>
          <cell r="C376" t="str">
            <v>lb</v>
          </cell>
          <cell r="D376">
            <v>2600</v>
          </cell>
        </row>
        <row r="377">
          <cell r="B377" t="str">
            <v>PUNTILLA 1"</v>
          </cell>
          <cell r="C377" t="str">
            <v>lb</v>
          </cell>
          <cell r="D377">
            <v>2600</v>
          </cell>
        </row>
        <row r="378">
          <cell r="B378" t="str">
            <v>PUNTILLA 11/4"</v>
          </cell>
          <cell r="C378" t="str">
            <v>lb</v>
          </cell>
          <cell r="D378">
            <v>2400</v>
          </cell>
        </row>
        <row r="379">
          <cell r="B379" t="str">
            <v>PUNTILLA 11/2"</v>
          </cell>
          <cell r="C379" t="str">
            <v>lb</v>
          </cell>
          <cell r="D379">
            <v>2200</v>
          </cell>
        </row>
        <row r="380">
          <cell r="B380" t="str">
            <v>PUNTILLA 2"</v>
          </cell>
          <cell r="C380" t="str">
            <v>lb</v>
          </cell>
          <cell r="D380">
            <v>2200</v>
          </cell>
        </row>
        <row r="381">
          <cell r="B381" t="str">
            <v>PUNTILLA 21/2"</v>
          </cell>
          <cell r="C381" t="str">
            <v>lb</v>
          </cell>
          <cell r="D381">
            <v>2200</v>
          </cell>
        </row>
        <row r="382">
          <cell r="C382" t="str">
            <v>lb</v>
          </cell>
          <cell r="D382">
            <v>2200</v>
          </cell>
        </row>
        <row r="383">
          <cell r="C383" t="str">
            <v>lb</v>
          </cell>
          <cell r="D383">
            <v>2100</v>
          </cell>
        </row>
        <row r="384">
          <cell r="C384" t="str">
            <v>un</v>
          </cell>
          <cell r="D384">
            <v>5900</v>
          </cell>
        </row>
        <row r="385">
          <cell r="C385" t="str">
            <v>un</v>
          </cell>
          <cell r="D385">
            <v>5900</v>
          </cell>
        </row>
        <row r="386">
          <cell r="B386" t="str">
            <v>RECEBO B-200</v>
          </cell>
          <cell r="C386" t="str">
            <v>m3</v>
          </cell>
          <cell r="D386">
            <v>32000</v>
          </cell>
        </row>
        <row r="387">
          <cell r="B387" t="str">
            <v>RECEBO B-600</v>
          </cell>
          <cell r="C387" t="str">
            <v>m3</v>
          </cell>
          <cell r="D387">
            <v>41500</v>
          </cell>
        </row>
        <row r="388">
          <cell r="B388" t="str">
            <v>RECEBO COMÚN</v>
          </cell>
          <cell r="C388" t="str">
            <v>m3</v>
          </cell>
          <cell r="D388">
            <v>28000</v>
          </cell>
        </row>
        <row r="389">
          <cell r="B389" t="str">
            <v>RECEBO B-400</v>
          </cell>
          <cell r="C389" t="str">
            <v>m3</v>
          </cell>
          <cell r="D389">
            <v>36000</v>
          </cell>
        </row>
        <row r="390">
          <cell r="B390" t="str">
            <v>RED PARA ATERRIZAR SUBESTACION</v>
          </cell>
          <cell r="C390" t="str">
            <v>gl</v>
          </cell>
          <cell r="D390">
            <v>3500000</v>
          </cell>
        </row>
        <row r="391">
          <cell r="B391" t="str">
            <v>RED TRENZADA CABLE 2X2+2</v>
          </cell>
          <cell r="C391" t="str">
            <v>ml</v>
          </cell>
          <cell r="D391">
            <v>13500</v>
          </cell>
        </row>
        <row r="392">
          <cell r="B392" t="str">
            <v>RED TRENZADA CABLE 3x1/0+1/0</v>
          </cell>
          <cell r="C392" t="str">
            <v>ml</v>
          </cell>
          <cell r="D392">
            <v>23500</v>
          </cell>
        </row>
        <row r="393">
          <cell r="B393" t="str">
            <v xml:space="preserve">REFLECTOR DE 250 VATIOS-SODIO ALTA PRESION -220 VOLTIOS-SODIO ALTA </v>
          </cell>
          <cell r="C393" t="str">
            <v>un</v>
          </cell>
          <cell r="D393">
            <v>1450000</v>
          </cell>
        </row>
        <row r="394">
          <cell r="B394" t="str">
            <v>REFLECTOR DE 400 W</v>
          </cell>
          <cell r="C394" t="str">
            <v>un</v>
          </cell>
          <cell r="D394">
            <v>400000</v>
          </cell>
        </row>
        <row r="395">
          <cell r="B395" t="str">
            <v>REGISTRO DE 3/4"</v>
          </cell>
          <cell r="C395" t="str">
            <v>un</v>
          </cell>
          <cell r="D395">
            <v>22500</v>
          </cell>
        </row>
        <row r="396">
          <cell r="B396" t="str">
            <v>REGISTRO DE BOLA 1/2"</v>
          </cell>
          <cell r="C396" t="str">
            <v>un</v>
          </cell>
          <cell r="D396">
            <v>14500</v>
          </cell>
        </row>
        <row r="397">
          <cell r="B397" t="str">
            <v>REGISTRO P.D.  R&amp;W - 2 1/2 " ( de cortina )</v>
          </cell>
          <cell r="C397" t="str">
            <v>un</v>
          </cell>
          <cell r="D397">
            <v>268000</v>
          </cell>
        </row>
        <row r="398">
          <cell r="B398" t="str">
            <v>REGISTRO R&amp;W - 1" ( de cortina ) Ref. 206</v>
          </cell>
          <cell r="C398" t="str">
            <v>un</v>
          </cell>
          <cell r="D398">
            <v>60000</v>
          </cell>
        </row>
        <row r="399">
          <cell r="B399" t="str">
            <v>REGISTRO R&amp;W - 1/2" ( de cortina ) Ref. 206</v>
          </cell>
          <cell r="C399" t="str">
            <v>un</v>
          </cell>
          <cell r="D399">
            <v>35000</v>
          </cell>
        </row>
        <row r="400">
          <cell r="B400" t="str">
            <v>REGISTRO R&amp;W - 3/4" ( de cortina ) Ref. 206</v>
          </cell>
          <cell r="C400" t="str">
            <v>un</v>
          </cell>
          <cell r="D400">
            <v>45000</v>
          </cell>
        </row>
        <row r="401">
          <cell r="B401" t="str">
            <v xml:space="preserve">REJILLA Aluminio 3"x2" </v>
          </cell>
          <cell r="C401" t="str">
            <v>un</v>
          </cell>
          <cell r="D401">
            <v>5900</v>
          </cell>
        </row>
        <row r="402">
          <cell r="B402" t="str">
            <v>REJILLA VENTILACION PLASTICA DE 25X25</v>
          </cell>
          <cell r="C402" t="str">
            <v>un</v>
          </cell>
          <cell r="D402">
            <v>12644</v>
          </cell>
        </row>
        <row r="403">
          <cell r="B403" t="str">
            <v>Rejillas de piso en aluminio de 3x2 con sosco</v>
          </cell>
          <cell r="C403" t="str">
            <v>un</v>
          </cell>
          <cell r="D403">
            <v>5900</v>
          </cell>
        </row>
        <row r="404">
          <cell r="B404" t="str">
            <v>RELLENO ARENA DE PEÑA</v>
          </cell>
          <cell r="C404" t="str">
            <v>m3</v>
          </cell>
          <cell r="D404">
            <v>40000</v>
          </cell>
        </row>
        <row r="405">
          <cell r="B405" t="str">
            <v>Repisa vidrio Baño Línea STYLO</v>
          </cell>
          <cell r="C405" t="str">
            <v>un</v>
          </cell>
          <cell r="D405">
            <v>115000</v>
          </cell>
        </row>
        <row r="406">
          <cell r="B406" t="str">
            <v>REMOVEDOR PVC</v>
          </cell>
          <cell r="C406" t="str">
            <v>un</v>
          </cell>
          <cell r="D406">
            <v>3750</v>
          </cell>
        </row>
        <row r="408">
          <cell r="B408" t="str">
            <v>REPISA ORDINARIO 3 m</v>
          </cell>
          <cell r="C408" t="str">
            <v>un</v>
          </cell>
          <cell r="D408">
            <v>8000</v>
          </cell>
        </row>
        <row r="409">
          <cell r="B409" t="str">
            <v xml:space="preserve">ROCKTOP </v>
          </cell>
          <cell r="C409" t="str">
            <v>kg</v>
          </cell>
          <cell r="D409">
            <v>2500</v>
          </cell>
        </row>
        <row r="410">
          <cell r="B410" t="str">
            <v>SANITARIO LINEA MONTECARLO CON GRIFERIA</v>
          </cell>
          <cell r="C410" t="str">
            <v>un</v>
          </cell>
          <cell r="D410">
            <v>430000</v>
          </cell>
        </row>
        <row r="411">
          <cell r="B411" t="str">
            <v xml:space="preserve">SECCIONADOR TRIPOLAR EN AIRE 400A-17,5 kV DE OPERACIÓN BAJO </v>
          </cell>
          <cell r="C411" t="str">
            <v>un</v>
          </cell>
          <cell r="D411">
            <v>10200000</v>
          </cell>
        </row>
        <row r="412">
          <cell r="B412" t="str">
            <v>SELLADOR</v>
          </cell>
          <cell r="C412" t="str">
            <v>gl</v>
          </cell>
          <cell r="D412">
            <v>18000</v>
          </cell>
        </row>
        <row r="413">
          <cell r="B413" t="str">
            <v>SELLADOR O CERA DE PISO</v>
          </cell>
          <cell r="C413" t="str">
            <v>m2</v>
          </cell>
          <cell r="D413">
            <v>1800</v>
          </cell>
        </row>
        <row r="414">
          <cell r="B414" t="str">
            <v>SELLADOR Y TINTILLA</v>
          </cell>
          <cell r="C414" t="str">
            <v>gl</v>
          </cell>
          <cell r="D414">
            <v>15000</v>
          </cell>
        </row>
        <row r="415">
          <cell r="B415" t="str">
            <v>SENSOR FOTOELECTRICO DETECTOR DE HUMO</v>
          </cell>
          <cell r="C415" t="str">
            <v>un</v>
          </cell>
          <cell r="D415">
            <v>90000</v>
          </cell>
        </row>
        <row r="416">
          <cell r="B416" t="str">
            <v>SIFON LAVAMANOS plastico gerfor GF-580322</v>
          </cell>
          <cell r="C416" t="str">
            <v>un</v>
          </cell>
          <cell r="D416">
            <v>12000</v>
          </cell>
        </row>
        <row r="417">
          <cell r="B417" t="str">
            <v>SIKA 1</v>
          </cell>
          <cell r="C417" t="str">
            <v>kg</v>
          </cell>
          <cell r="D417">
            <v>8500</v>
          </cell>
        </row>
        <row r="418">
          <cell r="B418" t="str">
            <v>SIKADUR 32</v>
          </cell>
          <cell r="C418" t="str">
            <v>kg</v>
          </cell>
          <cell r="D418">
            <v>50000</v>
          </cell>
        </row>
        <row r="419">
          <cell r="B419" t="str">
            <v xml:space="preserve">SIKAFLEX-1a cartu </v>
          </cell>
          <cell r="C419" t="str">
            <v>un</v>
          </cell>
          <cell r="D419">
            <v>25000</v>
          </cell>
        </row>
        <row r="420">
          <cell r="B420" t="str">
            <v>SILICONA</v>
          </cell>
          <cell r="C420" t="str">
            <v>un</v>
          </cell>
          <cell r="D420">
            <v>15000</v>
          </cell>
        </row>
        <row r="421">
          <cell r="B421" t="str">
            <v>SISTEMA DESINFECCION AGUA TRATADA</v>
          </cell>
          <cell r="C421" t="str">
            <v>un</v>
          </cell>
          <cell r="D421">
            <v>3800000</v>
          </cell>
        </row>
        <row r="422">
          <cell r="B422" t="str">
            <v>SISTEMA CONTROL ELECTRICO TODO INCLUIDO PARA LA PLANTA TRATAMIENTO</v>
          </cell>
          <cell r="C422" t="str">
            <v>un</v>
          </cell>
          <cell r="D422">
            <v>13000000</v>
          </cell>
        </row>
        <row r="423">
          <cell r="B423" t="str">
            <v>SOLDADOR PVC 1/4</v>
          </cell>
          <cell r="C423" t="str">
            <v>un</v>
          </cell>
          <cell r="D423">
            <v>45000</v>
          </cell>
        </row>
        <row r="424">
          <cell r="B424" t="str">
            <v xml:space="preserve">SOLDADURA E - 70  </v>
          </cell>
          <cell r="C424" t="str">
            <v>kg</v>
          </cell>
          <cell r="D424">
            <v>7500</v>
          </cell>
        </row>
        <row r="425">
          <cell r="B425" t="str">
            <v>SOLDADURA ESTAÑO</v>
          </cell>
          <cell r="C425" t="str">
            <v>un</v>
          </cell>
          <cell r="D425">
            <v>35000</v>
          </cell>
        </row>
        <row r="426">
          <cell r="B426" t="str">
            <v>SOLDADURA EXOTERMICA TIPO CADWELD o SIMILAR  de 90 GRAMOS</v>
          </cell>
          <cell r="C426" t="str">
            <v>un</v>
          </cell>
          <cell r="D426">
            <v>17000</v>
          </cell>
        </row>
        <row r="427">
          <cell r="B427" t="str">
            <v>SOPORTE PARA TUBERIA DE 4"</v>
          </cell>
          <cell r="C427" t="str">
            <v>un</v>
          </cell>
          <cell r="D427">
            <v>17980</v>
          </cell>
        </row>
        <row r="428">
          <cell r="B428" t="str">
            <v>SOPORTES LAVAMANOS</v>
          </cell>
          <cell r="C428" t="str">
            <v>jg</v>
          </cell>
          <cell r="D428">
            <v>2500</v>
          </cell>
        </row>
        <row r="429">
          <cell r="B429" t="str">
            <v>SOPORTES ORINAL</v>
          </cell>
          <cell r="C429" t="str">
            <v>un</v>
          </cell>
          <cell r="D429">
            <v>8500</v>
          </cell>
        </row>
        <row r="430">
          <cell r="B430" t="str">
            <v>TABLA BURRA ORDINARIA 0.20 DE 3.0 MTS</v>
          </cell>
          <cell r="C430" t="str">
            <v>un</v>
          </cell>
          <cell r="D430">
            <v>13500</v>
          </cell>
        </row>
        <row r="431">
          <cell r="B431" t="str">
            <v>TABLA BURRA ORDINARIA 0.30 DE 3.0 MTS</v>
          </cell>
          <cell r="C431" t="str">
            <v>un</v>
          </cell>
          <cell r="D431">
            <v>16000</v>
          </cell>
        </row>
        <row r="432">
          <cell r="B432" t="str">
            <v>TABLA CHAPA ORDINARIA 0.25 DE 3.0 MTS</v>
          </cell>
          <cell r="C432" t="str">
            <v>un</v>
          </cell>
          <cell r="D432">
            <v>13000</v>
          </cell>
        </row>
        <row r="433">
          <cell r="B433" t="str">
            <v>TABLA CHAPA ORDINARIA 0.20 DE 3.0 MTS</v>
          </cell>
          <cell r="C433" t="str">
            <v>un</v>
          </cell>
          <cell r="D433">
            <v>10000</v>
          </cell>
        </row>
        <row r="434">
          <cell r="B434" t="str">
            <v>TABLA CHAPA ORDINARIA 0.15 DE 3.0 MTS</v>
          </cell>
          <cell r="C434" t="str">
            <v>un</v>
          </cell>
          <cell r="D434">
            <v>7500</v>
          </cell>
        </row>
        <row r="435">
          <cell r="C435" t="str">
            <v>un</v>
          </cell>
        </row>
        <row r="436">
          <cell r="C436" t="str">
            <v>ml</v>
          </cell>
        </row>
        <row r="437">
          <cell r="B437" t="str">
            <v xml:space="preserve">TABLERO DE 12 CIRCUITOS CON ESPACIO PARA TOTALIZADOR, PUERTA Y CHAPA  -208 V - 3F5H-60HZ </v>
          </cell>
          <cell r="C437" t="str">
            <v>un</v>
          </cell>
        </row>
        <row r="438">
          <cell r="B438" t="str">
            <v>TABLERO DE 12 CTOS</v>
          </cell>
          <cell r="C438" t="str">
            <v>un</v>
          </cell>
          <cell r="D438">
            <v>165000</v>
          </cell>
        </row>
        <row r="439">
          <cell r="B439" t="str">
            <v>TABLERO 24 CIRCUITOS, PUERTA Y CHAPA, ESP TOTALIZADOR</v>
          </cell>
          <cell r="C439" t="str">
            <v>un</v>
          </cell>
          <cell r="D439">
            <v>225000</v>
          </cell>
        </row>
        <row r="440">
          <cell r="B440" t="str">
            <v xml:space="preserve">TABLERO 36 CIRCUITOS, PUERTA Y CHAPA, ESP TOTALIZADOR  </v>
          </cell>
          <cell r="C440" t="str">
            <v>un</v>
          </cell>
          <cell r="D440">
            <v>420000</v>
          </cell>
        </row>
        <row r="441">
          <cell r="B441" t="str">
            <v>TABLERO TRIFASICO DE 6 CIRCUITOS</v>
          </cell>
          <cell r="C441" t="str">
            <v>un</v>
          </cell>
          <cell r="D441">
            <v>89800</v>
          </cell>
        </row>
        <row r="442">
          <cell r="B442" t="str">
            <v>TABLETA GRES DE 25X25</v>
          </cell>
          <cell r="C442" t="str">
            <v>m2</v>
          </cell>
          <cell r="D442">
            <v>12500</v>
          </cell>
        </row>
        <row r="443">
          <cell r="B443" t="str">
            <v>TABLEX, LISTONES, PALOS</v>
          </cell>
          <cell r="C443" t="str">
            <v>m2</v>
          </cell>
          <cell r="D443">
            <v>250000</v>
          </cell>
        </row>
        <row r="444">
          <cell r="B444" t="str">
            <v>TABLÓN DE GRES  25X25</v>
          </cell>
          <cell r="C444" t="str">
            <v>m2</v>
          </cell>
          <cell r="D444">
            <v>26000</v>
          </cell>
        </row>
        <row r="445">
          <cell r="B445" t="str">
            <v>TABLON DE GRESS DE 33X33</v>
          </cell>
          <cell r="C445" t="str">
            <v>m2</v>
          </cell>
          <cell r="D445">
            <v>30000</v>
          </cell>
        </row>
        <row r="446">
          <cell r="B446" t="str">
            <v>TANQUE COLEMPAQUES 500 LT (incluye tapa y accesorios)</v>
          </cell>
          <cell r="C446" t="str">
            <v>ml</v>
          </cell>
          <cell r="D446">
            <v>185000</v>
          </cell>
        </row>
        <row r="447">
          <cell r="B447" t="str">
            <v>TABLERO MELAMINICO DE 1.83X2.44</v>
          </cell>
          <cell r="C447" t="str">
            <v>un</v>
          </cell>
          <cell r="D447">
            <v>125000</v>
          </cell>
        </row>
        <row r="448">
          <cell r="B448" t="str">
            <v>TABLERO EN AMARILLO</v>
          </cell>
          <cell r="C448" t="str">
            <v>m2</v>
          </cell>
          <cell r="D448">
            <v>180000</v>
          </cell>
        </row>
        <row r="449">
          <cell r="B449" t="str">
            <v>TAPA CAJA INSP. 60 x 60</v>
          </cell>
          <cell r="C449" t="str">
            <v>un</v>
          </cell>
          <cell r="D449">
            <v>8000</v>
          </cell>
        </row>
        <row r="450">
          <cell r="B450" t="str">
            <v>TABLETA MARMOL</v>
          </cell>
          <cell r="C450" t="str">
            <v>m2</v>
          </cell>
          <cell r="D450">
            <v>80000</v>
          </cell>
        </row>
        <row r="451">
          <cell r="B451" t="str">
            <v>TAPA CIEGA CON IMPACTO GALVANIZADA CUADRADA 4X4"</v>
          </cell>
          <cell r="C451" t="str">
            <v>un</v>
          </cell>
          <cell r="D451">
            <v>2500</v>
          </cell>
        </row>
        <row r="452">
          <cell r="B452" t="str">
            <v>TAPA EN CONCRETO (4000 PSI)</v>
          </cell>
          <cell r="C452" t="str">
            <v>un</v>
          </cell>
          <cell r="D452">
            <v>65000</v>
          </cell>
        </row>
        <row r="453">
          <cell r="B453" t="str">
            <v>TAPA EN CONCRETO CAJA CS 276</v>
          </cell>
          <cell r="C453" t="str">
            <v>un</v>
          </cell>
          <cell r="D453">
            <v>250000</v>
          </cell>
        </row>
        <row r="454">
          <cell r="B454" t="str">
            <v>TAPA REGISTRO PLASTICO DE 20X20</v>
          </cell>
          <cell r="C454" t="str">
            <v>un</v>
          </cell>
          <cell r="D454">
            <v>10500</v>
          </cell>
        </row>
        <row r="455">
          <cell r="B455" t="str">
            <v>TAPON GALVANIZADO MACHO DE 2"</v>
          </cell>
          <cell r="C455" t="str">
            <v>un</v>
          </cell>
          <cell r="D455">
            <v>14500</v>
          </cell>
        </row>
        <row r="456">
          <cell r="B456" t="str">
            <v>TAPÓN SOLDADO PRESIÓN 1 1/2"</v>
          </cell>
          <cell r="C456" t="str">
            <v>un</v>
          </cell>
          <cell r="D456">
            <v>3500</v>
          </cell>
        </row>
        <row r="457">
          <cell r="B457" t="str">
            <v>TAZA Institucional blanca Mancesa IC-IP41</v>
          </cell>
          <cell r="C457" t="str">
            <v>un</v>
          </cell>
          <cell r="D457">
            <v>90000</v>
          </cell>
        </row>
        <row r="458">
          <cell r="B458" t="str">
            <v>TEE EN ALUMINIO BLANCO</v>
          </cell>
          <cell r="C458" t="str">
            <v>un</v>
          </cell>
          <cell r="D458">
            <v>6500</v>
          </cell>
        </row>
        <row r="459">
          <cell r="B459" t="str">
            <v>TEE GALVANIZADA DE 4"</v>
          </cell>
          <cell r="C459" t="str">
            <v>un</v>
          </cell>
          <cell r="D459">
            <v>56260</v>
          </cell>
        </row>
        <row r="460">
          <cell r="B460" t="str">
            <v>TEE PRESIÓN  1 1/2" Pavco</v>
          </cell>
          <cell r="C460" t="str">
            <v>un</v>
          </cell>
          <cell r="D460">
            <v>6000</v>
          </cell>
        </row>
        <row r="461">
          <cell r="B461" t="str">
            <v>TEE PRESIÓN SOLDADA  1"</v>
          </cell>
          <cell r="C461" t="str">
            <v>un</v>
          </cell>
          <cell r="D461">
            <v>6500</v>
          </cell>
        </row>
        <row r="462">
          <cell r="B462" t="str">
            <v>TEJA DE ZINC 0.80X2.43</v>
          </cell>
          <cell r="C462" t="str">
            <v>un</v>
          </cell>
          <cell r="D462">
            <v>15400</v>
          </cell>
        </row>
        <row r="463">
          <cell r="B463" t="str">
            <v>TEJA CANALETA 90</v>
          </cell>
          <cell r="C463" t="str">
            <v>m2</v>
          </cell>
          <cell r="D463">
            <v>25000</v>
          </cell>
        </row>
        <row r="464">
          <cell r="B464" t="str">
            <v xml:space="preserve">TEJA DE BARRO </v>
          </cell>
          <cell r="C464" t="str">
            <v>un</v>
          </cell>
          <cell r="D464">
            <v>1850</v>
          </cell>
        </row>
        <row r="465">
          <cell r="B465" t="str">
            <v>TEJA ONDULADA ETERNIT No. 6 DE 0.92X1.83</v>
          </cell>
          <cell r="C465" t="str">
            <v>un</v>
          </cell>
          <cell r="D465">
            <v>26500</v>
          </cell>
        </row>
        <row r="466">
          <cell r="B466" t="str">
            <v>TEJA THERMOACUSTICA TRAPEZOIDAL  2.44X0.82</v>
          </cell>
          <cell r="C466" t="str">
            <v>un</v>
          </cell>
          <cell r="D466">
            <v>48000</v>
          </cell>
        </row>
        <row r="467">
          <cell r="B467" t="str">
            <v>TELA ASFALTICA DE 15 M2</v>
          </cell>
          <cell r="C467" t="str">
            <v>rollo</v>
          </cell>
          <cell r="D467">
            <v>30000</v>
          </cell>
        </row>
        <row r="468">
          <cell r="B468" t="str">
            <v>TELA VERDE CERRAMIENTO</v>
          </cell>
          <cell r="C468" t="str">
            <v>ML</v>
          </cell>
          <cell r="D468">
            <v>2500</v>
          </cell>
        </row>
        <row r="469">
          <cell r="B469" t="str">
            <v>TERMINAL PONCHAR 2 AWG</v>
          </cell>
          <cell r="C469" t="str">
            <v>un</v>
          </cell>
          <cell r="D469">
            <v>5900</v>
          </cell>
        </row>
        <row r="470">
          <cell r="B470" t="str">
            <v xml:space="preserve">Terminal preformado uso interior 15 kV para cable 2 – 3/0 AWG; </v>
          </cell>
          <cell r="C470" t="str">
            <v>juego</v>
          </cell>
          <cell r="D470">
            <v>220000</v>
          </cell>
        </row>
        <row r="471">
          <cell r="B471" t="str">
            <v>Terminal Soldar/Ponchar barril largo para cable 8. Calidad 3M, Panduit o superior.</v>
          </cell>
          <cell r="C471" t="str">
            <v>gb</v>
          </cell>
          <cell r="D471">
            <v>12500</v>
          </cell>
        </row>
        <row r="472">
          <cell r="B472" t="str">
            <v>Thiner</v>
          </cell>
          <cell r="C472" t="str">
            <v>gl</v>
          </cell>
          <cell r="D472">
            <v>20000</v>
          </cell>
        </row>
        <row r="473">
          <cell r="B473" t="str">
            <v>TIERRA NEGRA</v>
          </cell>
          <cell r="C473" t="str">
            <v>m3</v>
          </cell>
          <cell r="D473">
            <v>45000</v>
          </cell>
        </row>
        <row r="474">
          <cell r="B474" t="str">
            <v>TINTILLA</v>
          </cell>
          <cell r="C474" t="str">
            <v>1/4 gl</v>
          </cell>
          <cell r="D474">
            <v>24000</v>
          </cell>
        </row>
        <row r="475">
          <cell r="B475" t="str">
            <v>TIRAS ALISTADO 3 x 3 x 3</v>
          </cell>
          <cell r="C475" t="str">
            <v>ml</v>
          </cell>
          <cell r="D475">
            <v>2500</v>
          </cell>
        </row>
        <row r="476">
          <cell r="B476" t="str">
            <v>TOMA BIFASICA 2P+T</v>
          </cell>
          <cell r="C476" t="str">
            <v>un</v>
          </cell>
          <cell r="D476">
            <v>9500</v>
          </cell>
        </row>
        <row r="477">
          <cell r="B477" t="str">
            <v>TOMA CORRIENTE DOBLE</v>
          </cell>
          <cell r="C477" t="str">
            <v>un</v>
          </cell>
          <cell r="D477">
            <v>3500</v>
          </cell>
        </row>
        <row r="478">
          <cell r="B478" t="str">
            <v>TOMA COAXIAL PARA TV TIPO AMERICANA</v>
          </cell>
          <cell r="C478" t="str">
            <v>un</v>
          </cell>
          <cell r="D478">
            <v>5000</v>
          </cell>
        </row>
        <row r="479">
          <cell r="B479" t="str">
            <v>TOMA TV+TELEFONO</v>
          </cell>
          <cell r="C479" t="str">
            <v>un</v>
          </cell>
          <cell r="D479">
            <v>18000</v>
          </cell>
        </row>
        <row r="480">
          <cell r="B480" t="str">
            <v>Toallero Barra - GRIVAL Línea STYLO,</v>
          </cell>
          <cell r="C480" t="str">
            <v>un</v>
          </cell>
          <cell r="D480">
            <v>70000</v>
          </cell>
        </row>
        <row r="481">
          <cell r="B481" t="str">
            <v>Toallero Argolla - GRIVAL Línea STYLO</v>
          </cell>
          <cell r="C481" t="str">
            <v>un</v>
          </cell>
          <cell r="D481">
            <v>60000</v>
          </cell>
        </row>
        <row r="482">
          <cell r="B482" t="str">
            <v xml:space="preserve">TORNILLOS </v>
          </cell>
          <cell r="C482" t="str">
            <v>un</v>
          </cell>
          <cell r="D482">
            <v>100</v>
          </cell>
        </row>
        <row r="483">
          <cell r="B483" t="str">
            <v>TRIPLEX FORMALETA DE 1.22X2.44 DE 18 mm</v>
          </cell>
          <cell r="C483" t="str">
            <v>un</v>
          </cell>
          <cell r="D483">
            <v>85000</v>
          </cell>
        </row>
        <row r="484">
          <cell r="C484" t="str">
            <v>un</v>
          </cell>
          <cell r="D484">
            <v>20000</v>
          </cell>
        </row>
        <row r="485">
          <cell r="C485" t="str">
            <v>un</v>
          </cell>
          <cell r="D485">
            <v>19500000</v>
          </cell>
        </row>
        <row r="486">
          <cell r="C486" t="str">
            <v>gl</v>
          </cell>
          <cell r="D486">
            <v>2500000</v>
          </cell>
        </row>
        <row r="487">
          <cell r="C487" t="str">
            <v>un</v>
          </cell>
          <cell r="D487">
            <v>350000</v>
          </cell>
        </row>
        <row r="488">
          <cell r="C488" t="str">
            <v>un</v>
          </cell>
          <cell r="D488">
            <v>715000</v>
          </cell>
        </row>
        <row r="489">
          <cell r="C489" t="str">
            <v>un</v>
          </cell>
          <cell r="D489">
            <v>590000</v>
          </cell>
        </row>
        <row r="490">
          <cell r="B490" t="str">
            <v>TUBERIA GALVANIZADA 2"</v>
          </cell>
          <cell r="C490" t="str">
            <v>ml</v>
          </cell>
          <cell r="D490">
            <v>8600</v>
          </cell>
        </row>
        <row r="491">
          <cell r="B491" t="str">
            <v>TUBERIA GALVANIZADA 2" DE 0.098</v>
          </cell>
          <cell r="C491" t="str">
            <v>un</v>
          </cell>
          <cell r="D491">
            <v>83900</v>
          </cell>
        </row>
        <row r="492">
          <cell r="B492" t="str">
            <v>TUBERIA HIERRO DUCTIL DE 4" ESP 3.2 mm</v>
          </cell>
          <cell r="C492" t="str">
            <v>ml</v>
          </cell>
          <cell r="D492">
            <v>100000</v>
          </cell>
        </row>
        <row r="493">
          <cell r="B493" t="str">
            <v>TUBERIAS, VALVULAS, ACCESORIOS</v>
          </cell>
          <cell r="C493" t="str">
            <v>global</v>
          </cell>
          <cell r="D493">
            <v>5000000</v>
          </cell>
        </row>
        <row r="494">
          <cell r="B494" t="str">
            <v>TUBERIA NOVAFORT DE 6"</v>
          </cell>
          <cell r="C494" t="str">
            <v>un</v>
          </cell>
          <cell r="D494">
            <v>220000</v>
          </cell>
        </row>
        <row r="495">
          <cell r="B495" t="str">
            <v>TUBERIA PEX AL PEX 1/2"</v>
          </cell>
          <cell r="C495" t="str">
            <v>ml</v>
          </cell>
          <cell r="D495">
            <v>2500</v>
          </cell>
        </row>
        <row r="496">
          <cell r="B496" t="str">
            <v>TUBERIA CONDUCCION AGUAS RESIDUALES INC ACCESORIOS</v>
          </cell>
          <cell r="C496" t="str">
            <v>ml</v>
          </cell>
          <cell r="D496">
            <v>50000</v>
          </cell>
        </row>
        <row r="497">
          <cell r="B497" t="str">
            <v>TUBERIA RECTANGULAR DE 3 1/2" X 1 1/2"</v>
          </cell>
          <cell r="C497" t="str">
            <v>un</v>
          </cell>
          <cell r="D497">
            <v>92000</v>
          </cell>
        </row>
        <row r="498">
          <cell r="B498" t="str">
            <v>TUBO 4X8 EN COLD ROLLED CAL 18</v>
          </cell>
          <cell r="C498" t="str">
            <v>ml</v>
          </cell>
          <cell r="D498">
            <v>28500</v>
          </cell>
        </row>
        <row r="499">
          <cell r="B499" t="str">
            <v>TUBO alcantarillado  PVC   160 MM ( 6" ) Pavco</v>
          </cell>
          <cell r="C499" t="str">
            <v>ml</v>
          </cell>
          <cell r="D499">
            <v>22000</v>
          </cell>
        </row>
        <row r="500">
          <cell r="B500" t="str">
            <v>TUBO alcantarillado  PVC   160 MM ( 8" ) Pavco</v>
          </cell>
          <cell r="C500" t="str">
            <v>ml</v>
          </cell>
          <cell r="D500">
            <v>32000</v>
          </cell>
        </row>
        <row r="501">
          <cell r="B501" t="str">
            <v>TUBO alcantarillado PVC   110MM  ( 4") Pavco</v>
          </cell>
          <cell r="C501" t="str">
            <v>ml</v>
          </cell>
          <cell r="D501">
            <v>15000</v>
          </cell>
        </row>
        <row r="502">
          <cell r="B502" t="str">
            <v>TUBO alcantarillado PVC   250MM  ( 10") Pavco</v>
          </cell>
          <cell r="C502" t="str">
            <v>ml</v>
          </cell>
          <cell r="D502">
            <v>55000</v>
          </cell>
        </row>
        <row r="503">
          <cell r="B503" t="str">
            <v>TUBO CONDUIT EMT 1"</v>
          </cell>
          <cell r="C503" t="str">
            <v>ml</v>
          </cell>
          <cell r="D503">
            <v>6500</v>
          </cell>
        </row>
        <row r="504">
          <cell r="B504" t="str">
            <v>TUBO CONDUIT EMT1/2"</v>
          </cell>
          <cell r="C504" t="str">
            <v>ml</v>
          </cell>
          <cell r="D504">
            <v>1500</v>
          </cell>
        </row>
        <row r="505">
          <cell r="B505" t="str">
            <v>TUBO CONDUIT GALVANIZADO PESADO 1" CON UNIÓN</v>
          </cell>
          <cell r="C505" t="str">
            <v>ml</v>
          </cell>
          <cell r="D505">
            <v>9500</v>
          </cell>
        </row>
        <row r="506">
          <cell r="B506" t="str">
            <v>TUBO CONDUIT PVC 1"  3m</v>
          </cell>
          <cell r="C506" t="str">
            <v>un</v>
          </cell>
          <cell r="D506">
            <v>5500</v>
          </cell>
        </row>
        <row r="507">
          <cell r="B507" t="str">
            <v>TUBO CONDUIT PVC 1/2" 3m</v>
          </cell>
          <cell r="C507" t="str">
            <v>un</v>
          </cell>
          <cell r="D507">
            <v>2500</v>
          </cell>
        </row>
        <row r="508">
          <cell r="B508" t="str">
            <v>TUBO CONDUIT PVC 3/4" 3m</v>
          </cell>
          <cell r="C508" t="str">
            <v>un</v>
          </cell>
          <cell r="D508">
            <v>3500</v>
          </cell>
        </row>
        <row r="509">
          <cell r="B509" t="str">
            <v>TUBO CUADRADO DE 1 1/2" x 1 1/2"</v>
          </cell>
          <cell r="C509" t="str">
            <v>un</v>
          </cell>
          <cell r="D509">
            <v>25000</v>
          </cell>
        </row>
        <row r="510">
          <cell r="B510" t="str">
            <v>TUBO CPVC 1/2" DE 3 M</v>
          </cell>
          <cell r="C510" t="str">
            <v>un</v>
          </cell>
          <cell r="D510">
            <v>9000</v>
          </cell>
        </row>
        <row r="511">
          <cell r="B511" t="str">
            <v>TUBO GALVANIZADO 2"  2.0mm</v>
          </cell>
          <cell r="C511" t="str">
            <v>ml</v>
          </cell>
          <cell r="D511">
            <v>18500</v>
          </cell>
        </row>
        <row r="512">
          <cell r="B512" t="str">
            <v>TUBO GALVANIZADO 3"  2.0mm</v>
          </cell>
          <cell r="C512" t="str">
            <v>ml</v>
          </cell>
          <cell r="D512">
            <v>60000</v>
          </cell>
        </row>
        <row r="513">
          <cell r="B513" t="str">
            <v xml:space="preserve">TUBO GALVANIZADO 3/4"  </v>
          </cell>
          <cell r="C513" t="str">
            <v>ml</v>
          </cell>
          <cell r="D513">
            <v>10500</v>
          </cell>
        </row>
        <row r="514">
          <cell r="B514" t="str">
            <v>TUBO NOVAFOR DE 4" PERFORADO</v>
          </cell>
          <cell r="C514" t="str">
            <v>ml</v>
          </cell>
          <cell r="D514">
            <v>14000</v>
          </cell>
        </row>
        <row r="515">
          <cell r="B515" t="str">
            <v>TUBO NOVAFORT 6"</v>
          </cell>
          <cell r="C515" t="str">
            <v>un</v>
          </cell>
          <cell r="D515">
            <v>32000</v>
          </cell>
        </row>
        <row r="516">
          <cell r="B516" t="str">
            <v>TUBO PRESIÓN /13.5 PVC  1/2" Pavco</v>
          </cell>
          <cell r="C516" t="str">
            <v>un</v>
          </cell>
          <cell r="D516">
            <v>10500</v>
          </cell>
        </row>
        <row r="517">
          <cell r="B517" t="str">
            <v>TUBO PRESIÓN /13.5 PVC  3/4" Pavco</v>
          </cell>
          <cell r="C517" t="str">
            <v>ml</v>
          </cell>
          <cell r="D517">
            <v>12000</v>
          </cell>
        </row>
        <row r="518">
          <cell r="B518" t="str">
            <v>TUBO PRESIÓN /21 PVC    1"</v>
          </cell>
          <cell r="C518" t="str">
            <v>ml</v>
          </cell>
          <cell r="D518">
            <v>5250</v>
          </cell>
        </row>
        <row r="519">
          <cell r="B519" t="str">
            <v>TUBO PRESIÓN /21 PVC    2" Pavco</v>
          </cell>
          <cell r="C519" t="str">
            <v>ml</v>
          </cell>
          <cell r="D519">
            <v>12500</v>
          </cell>
        </row>
        <row r="520">
          <cell r="B520" t="str">
            <v>TUBO PRESIÓN /21 PVC  1 1/2" Pavco</v>
          </cell>
          <cell r="C520" t="str">
            <v>ml</v>
          </cell>
          <cell r="D520">
            <v>9500</v>
          </cell>
        </row>
        <row r="521">
          <cell r="B521" t="str">
            <v>TUBO PRESIÓN /21 PVC  1 1/4" Pavco</v>
          </cell>
          <cell r="C521" t="str">
            <v>ml</v>
          </cell>
          <cell r="D521">
            <v>8500</v>
          </cell>
        </row>
        <row r="522">
          <cell r="B522" t="str">
            <v>TUBO PVC A.LL. 2" DE  6 MTS</v>
          </cell>
          <cell r="C522" t="str">
            <v>un</v>
          </cell>
          <cell r="D522">
            <v>25000</v>
          </cell>
        </row>
        <row r="523">
          <cell r="B523" t="str">
            <v>TUBO PVC A.LL. 3" DE  6 MTS</v>
          </cell>
          <cell r="C523" t="str">
            <v>un</v>
          </cell>
          <cell r="D523">
            <v>40500</v>
          </cell>
        </row>
        <row r="524">
          <cell r="B524" t="str">
            <v>TUBO PVC A.LL. 4" DE 6 MTS</v>
          </cell>
          <cell r="C524" t="str">
            <v>un</v>
          </cell>
          <cell r="D524">
            <v>65100</v>
          </cell>
        </row>
        <row r="525">
          <cell r="B525" t="str">
            <v>TUBO PVC SANITARIO 2" DE 6 MTS</v>
          </cell>
          <cell r="C525" t="str">
            <v>un</v>
          </cell>
          <cell r="D525">
            <v>40000</v>
          </cell>
        </row>
        <row r="526">
          <cell r="B526" t="str">
            <v>TUBO PVC SANITARIO 3" DE 6 MTS</v>
          </cell>
          <cell r="C526" t="str">
            <v>un</v>
          </cell>
          <cell r="D526">
            <v>55000</v>
          </cell>
        </row>
        <row r="527">
          <cell r="B527" t="str">
            <v>TUBO PVC SANITARIO 4" DE 6 MTS</v>
          </cell>
          <cell r="C527" t="str">
            <v>un</v>
          </cell>
          <cell r="D527">
            <v>80000</v>
          </cell>
        </row>
        <row r="528">
          <cell r="B528" t="str">
            <v>TUBOS PVC DB 1"</v>
          </cell>
          <cell r="C528" t="str">
            <v>ml</v>
          </cell>
          <cell r="D528">
            <v>8500</v>
          </cell>
        </row>
        <row r="529">
          <cell r="B529" t="str">
            <v xml:space="preserve">UNION  GALVANIZADA 2 1/2" </v>
          </cell>
          <cell r="C529" t="str">
            <v>un</v>
          </cell>
          <cell r="D529">
            <v>18000</v>
          </cell>
        </row>
        <row r="530">
          <cell r="B530" t="str">
            <v>UNIÓN alcantarillado PVC  110MM ( 4" ) Pavco</v>
          </cell>
          <cell r="C530" t="str">
            <v>un</v>
          </cell>
          <cell r="D530">
            <v>12000</v>
          </cell>
        </row>
        <row r="531">
          <cell r="B531" t="str">
            <v>UNIÓN alcantarillado PVC 160MM  ( 6") Pavco</v>
          </cell>
          <cell r="C531" t="str">
            <v>un</v>
          </cell>
          <cell r="D531">
            <v>17000</v>
          </cell>
        </row>
        <row r="532">
          <cell r="B532" t="str">
            <v>UNIÓN alcantarillado PVC 160MM  ( 8") Pavco</v>
          </cell>
          <cell r="C532" t="str">
            <v>un</v>
          </cell>
          <cell r="D532">
            <v>25000</v>
          </cell>
        </row>
        <row r="533">
          <cell r="B533" t="str">
            <v>UNIÓN alcantarillado PVC 250MM  ( 10") Pavco</v>
          </cell>
          <cell r="C533" t="str">
            <v>un</v>
          </cell>
          <cell r="D533">
            <v>45000</v>
          </cell>
        </row>
        <row r="534">
          <cell r="B534" t="str">
            <v>UNIÓN GALVANIZADA      3"</v>
          </cell>
          <cell r="C534" t="str">
            <v>un</v>
          </cell>
          <cell r="D534">
            <v>45000</v>
          </cell>
        </row>
        <row r="535">
          <cell r="B535" t="str">
            <v>UNION GALVANIZADA DE 1/2"</v>
          </cell>
          <cell r="C535" t="str">
            <v>un</v>
          </cell>
          <cell r="D535">
            <v>1500</v>
          </cell>
        </row>
        <row r="536">
          <cell r="B536" t="str">
            <v>UNION GALVANIZADA DE 4" SH 40</v>
          </cell>
          <cell r="C536" t="str">
            <v>un</v>
          </cell>
          <cell r="D536">
            <v>34800</v>
          </cell>
        </row>
        <row r="537">
          <cell r="B537" t="str">
            <v>UNIÓN SANITARIA  2" Pavco</v>
          </cell>
          <cell r="C537" t="str">
            <v>un</v>
          </cell>
          <cell r="D537">
            <v>12500</v>
          </cell>
        </row>
        <row r="538">
          <cell r="B538" t="str">
            <v>UNIÓN SANITARIA 4" Pavco</v>
          </cell>
          <cell r="C538" t="str">
            <v>un</v>
          </cell>
          <cell r="D538">
            <v>17500</v>
          </cell>
        </row>
        <row r="539">
          <cell r="B539" t="str">
            <v>UNIÓN SANITARIA 6" Pavco</v>
          </cell>
          <cell r="C539" t="str">
            <v>un</v>
          </cell>
          <cell r="D539">
            <v>22000</v>
          </cell>
        </row>
        <row r="540">
          <cell r="B540" t="str">
            <v>UNIVERSAL GALVANIZADA 3/4"</v>
          </cell>
          <cell r="C540" t="str">
            <v>un</v>
          </cell>
          <cell r="D540">
            <v>4000</v>
          </cell>
        </row>
        <row r="541">
          <cell r="B541" t="str">
            <v xml:space="preserve">VALVULA BETA COMPUERTA ELASTICA 4" </v>
          </cell>
          <cell r="C541" t="str">
            <v>un</v>
          </cell>
          <cell r="D541">
            <v>755000</v>
          </cell>
        </row>
        <row r="542">
          <cell r="B542" t="str">
            <v>VALVULA DE CHEQUE OPERACIÓN HORIZONTAL 4" EXT BRIDADO</v>
          </cell>
          <cell r="C542" t="str">
            <v>un</v>
          </cell>
          <cell r="D542">
            <v>650000</v>
          </cell>
        </row>
        <row r="543">
          <cell r="B543" t="str">
            <v>VALVULA DE CIERRE RAPIDO DE 4"</v>
          </cell>
          <cell r="C543" t="str">
            <v>un</v>
          </cell>
          <cell r="D543">
            <v>700000</v>
          </cell>
        </row>
        <row r="544">
          <cell r="B544" t="str">
            <v>VALVULA DE COMPUERTA  VASTAGO NO ASCENTE EXTREMO BRIDA</v>
          </cell>
          <cell r="C544" t="str">
            <v>un</v>
          </cell>
          <cell r="D544">
            <v>475000</v>
          </cell>
        </row>
        <row r="545">
          <cell r="B545" t="str">
            <v>VALVULA Descarga sanitario DO-01051300</v>
          </cell>
          <cell r="C545" t="str">
            <v>un</v>
          </cell>
          <cell r="D545">
            <v>115000</v>
          </cell>
        </row>
        <row r="546">
          <cell r="B546" t="str">
            <v>VARA DE CLAVO</v>
          </cell>
          <cell r="C546" t="str">
            <v>ml</v>
          </cell>
          <cell r="D546">
            <v>3500</v>
          </cell>
        </row>
        <row r="547">
          <cell r="B547" t="str">
            <v>VARILLA CORRUGADA DE 1/2" DE 12 MTS</v>
          </cell>
          <cell r="C547" t="str">
            <v>un</v>
          </cell>
          <cell r="D547">
            <v>19488</v>
          </cell>
        </row>
        <row r="548">
          <cell r="B548" t="str">
            <v>VARILLA CORRUGADA DE 1/2" DE 6 MTS</v>
          </cell>
          <cell r="C548" t="str">
            <v>un</v>
          </cell>
          <cell r="D548">
            <v>9300</v>
          </cell>
        </row>
        <row r="549">
          <cell r="B549" t="str">
            <v>VARILLA CORRUGADA DE 3/8" DE 12 MTS</v>
          </cell>
          <cell r="C549" t="str">
            <v>un</v>
          </cell>
          <cell r="D549">
            <v>10913.279999999999</v>
          </cell>
        </row>
        <row r="550">
          <cell r="B550" t="str">
            <v>VARILLA CORRUGADA DE 5/8" DE 12 MTS</v>
          </cell>
          <cell r="C550" t="str">
            <v>un</v>
          </cell>
          <cell r="D550">
            <v>30401.279999999999</v>
          </cell>
        </row>
        <row r="551">
          <cell r="B551" t="str">
            <v>VARILLA CUADRADA DE 1/2"</v>
          </cell>
          <cell r="C551" t="str">
            <v>ml</v>
          </cell>
          <cell r="D551">
            <v>3000</v>
          </cell>
        </row>
        <row r="552">
          <cell r="B552" t="str">
            <v>VARILLA CUADRADA DE 3/8"</v>
          </cell>
          <cell r="C552" t="str">
            <v>ml</v>
          </cell>
          <cell r="D552">
            <v>1800</v>
          </cell>
        </row>
        <row r="553">
          <cell r="B553" t="str">
            <v>VARILLA DE COBRE-COBRE Ø5/8" X 2.40 m</v>
          </cell>
          <cell r="C553" t="str">
            <v>un</v>
          </cell>
          <cell r="D553">
            <v>72000</v>
          </cell>
        </row>
        <row r="554">
          <cell r="B554" t="str">
            <v>VARILLA DE COBRE-COBRE Ø5/8" X 2.40 m COOPER WELL</v>
          </cell>
          <cell r="C554" t="str">
            <v>un</v>
          </cell>
          <cell r="D554">
            <v>125000</v>
          </cell>
        </row>
        <row r="555">
          <cell r="B555" t="str">
            <v>VARILLA EN ACERO DE 3/8"</v>
          </cell>
          <cell r="C555" t="str">
            <v>un</v>
          </cell>
          <cell r="D555">
            <v>11700</v>
          </cell>
        </row>
        <row r="556">
          <cell r="B556" t="str">
            <v>VARILLA EN ACERO DE 5/8"</v>
          </cell>
          <cell r="C556" t="str">
            <v>un</v>
          </cell>
          <cell r="D556">
            <v>32700</v>
          </cell>
        </row>
        <row r="557">
          <cell r="B557" t="str">
            <v>VARILLA LISA DE 1/2" DE 6 MTS</v>
          </cell>
          <cell r="C557" t="str">
            <v>un</v>
          </cell>
          <cell r="D557">
            <v>12152</v>
          </cell>
        </row>
        <row r="558">
          <cell r="B558" t="str">
            <v>VARILLA LISA DE 3/8" DE 6 MTS</v>
          </cell>
          <cell r="C558" t="str">
            <v>un</v>
          </cell>
          <cell r="D558">
            <v>6902</v>
          </cell>
        </row>
        <row r="559">
          <cell r="B559" t="str">
            <v>VIDRIO TEMPLADO DE 10 mm</v>
          </cell>
          <cell r="C559" t="str">
            <v>m2</v>
          </cell>
          <cell r="D559">
            <v>320000</v>
          </cell>
        </row>
        <row r="560">
          <cell r="B560" t="str">
            <v>VIDRIO DE 4 mm</v>
          </cell>
          <cell r="C560" t="str">
            <v>m2</v>
          </cell>
          <cell r="D560">
            <v>30000</v>
          </cell>
        </row>
        <row r="561">
          <cell r="B561" t="str">
            <v>VIDRIO TEMPLADO DE 8 mm</v>
          </cell>
          <cell r="C561" t="str">
            <v>m2</v>
          </cell>
          <cell r="D561">
            <v>250000</v>
          </cell>
        </row>
        <row r="562">
          <cell r="B562" t="str">
            <v>VINILTEX Pintuco</v>
          </cell>
          <cell r="C562" t="str">
            <v>gl</v>
          </cell>
          <cell r="D562">
            <v>55000</v>
          </cell>
        </row>
        <row r="563">
          <cell r="B563" t="str">
            <v>Wash Primer A Pintura</v>
          </cell>
          <cell r="C563" t="str">
            <v>gl</v>
          </cell>
          <cell r="D563">
            <v>98000</v>
          </cell>
        </row>
        <row r="564">
          <cell r="B564" t="str">
            <v>WASH PRIMER ANTICORROSIVO</v>
          </cell>
          <cell r="C564" t="str">
            <v>gl</v>
          </cell>
          <cell r="D564">
            <v>45000</v>
          </cell>
        </row>
        <row r="565">
          <cell r="B565" t="str">
            <v>Wash Primer B Catalizador</v>
          </cell>
          <cell r="C565" t="str">
            <v>gl</v>
          </cell>
          <cell r="D565">
            <v>92000</v>
          </cell>
        </row>
        <row r="566">
          <cell r="B566" t="str">
            <v>WASH PRIMER PINTURA</v>
          </cell>
          <cell r="C566" t="str">
            <v>gl</v>
          </cell>
          <cell r="D566">
            <v>60000</v>
          </cell>
        </row>
        <row r="567">
          <cell r="B567" t="str">
            <v>WIN Aluminio x 6 mts</v>
          </cell>
          <cell r="C567" t="str">
            <v>un</v>
          </cell>
          <cell r="D567">
            <v>14000</v>
          </cell>
        </row>
        <row r="568">
          <cell r="B568" t="str">
            <v>Xypes concentrado</v>
          </cell>
          <cell r="C568" t="str">
            <v>kg</v>
          </cell>
          <cell r="D568">
            <v>20900</v>
          </cell>
        </row>
        <row r="569">
          <cell r="B569" t="str">
            <v>Xypes Patch and Plug por 1.25 kg</v>
          </cell>
          <cell r="C569" t="str">
            <v>un</v>
          </cell>
          <cell r="D569">
            <v>19500</v>
          </cell>
        </row>
        <row r="570">
          <cell r="B570" t="str">
            <v>YEE SANITARIA 2"  Pavco</v>
          </cell>
          <cell r="C570" t="str">
            <v>un</v>
          </cell>
          <cell r="D570">
            <v>7500</v>
          </cell>
        </row>
        <row r="571">
          <cell r="B571" t="str">
            <v>YEE SANITARIA 4"  Pavco</v>
          </cell>
          <cell r="C571" t="str">
            <v>un</v>
          </cell>
          <cell r="D571">
            <v>18000</v>
          </cell>
        </row>
        <row r="572">
          <cell r="B572" t="str">
            <v>YESO CORRIENTE VENCEDOR</v>
          </cell>
          <cell r="C572" t="str">
            <v>bt</v>
          </cell>
          <cell r="D572">
            <v>15000</v>
          </cell>
        </row>
        <row r="573">
          <cell r="B573" t="str">
            <v>ZÓCALO Baldosa grano de marmol 30x7 Fondo blanco</v>
          </cell>
          <cell r="C573" t="str">
            <v>ml</v>
          </cell>
          <cell r="D573">
            <v>12500</v>
          </cell>
        </row>
        <row r="574">
          <cell r="B574" t="str">
            <v>ZÓCALO en ceramica pompei color coral  30*7</v>
          </cell>
          <cell r="C574" t="str">
            <v>ml</v>
          </cell>
          <cell r="D574">
            <v>7000</v>
          </cell>
        </row>
      </sheetData>
      <sheetData sheetId="3">
        <row r="2">
          <cell r="B2">
            <v>0</v>
          </cell>
          <cell r="C2" t="str">
            <v xml:space="preserve"> </v>
          </cell>
        </row>
        <row r="3">
          <cell r="B3" t="str">
            <v>ANDAMIO TUBULAR</v>
          </cell>
          <cell r="C3" t="str">
            <v>dd</v>
          </cell>
          <cell r="D3">
            <v>500</v>
          </cell>
        </row>
        <row r="4">
          <cell r="B4" t="str">
            <v>ALLANADORA GASOLINA HELICOPTERO</v>
          </cell>
          <cell r="C4" t="str">
            <v>dd</v>
          </cell>
          <cell r="D4">
            <v>55000</v>
          </cell>
        </row>
        <row r="5">
          <cell r="B5" t="str">
            <v>BAÑOS PORTATILES</v>
          </cell>
          <cell r="C5" t="str">
            <v>Mes</v>
          </cell>
          <cell r="D5">
            <v>525000</v>
          </cell>
        </row>
        <row r="6">
          <cell r="B6" t="str">
            <v xml:space="preserve">BOMBAS </v>
          </cell>
          <cell r="C6" t="str">
            <v>dd</v>
          </cell>
          <cell r="D6">
            <v>40000</v>
          </cell>
        </row>
        <row r="7">
          <cell r="B7" t="str">
            <v>COMPRESOR DE DOS MARTILLOS</v>
          </cell>
          <cell r="C7" t="str">
            <v>dd</v>
          </cell>
          <cell r="D7">
            <v>145000</v>
          </cell>
        </row>
        <row r="8">
          <cell r="B8" t="str">
            <v>CRUCETAS, PARALES Y CERCHAS</v>
          </cell>
          <cell r="C8" t="str">
            <v>Mes</v>
          </cell>
          <cell r="D8">
            <v>4500</v>
          </cell>
        </row>
        <row r="9">
          <cell r="B9" t="str">
            <v>EQUIPO BÁSICO ( Construcción )</v>
          </cell>
          <cell r="C9" t="str">
            <v>dd</v>
          </cell>
          <cell r="D9">
            <v>1000</v>
          </cell>
        </row>
        <row r="10">
          <cell r="B10" t="str">
            <v>EQUIPO BÁSICO ( Herramienta menor )</v>
          </cell>
          <cell r="C10" t="str">
            <v>dd</v>
          </cell>
          <cell r="D10">
            <v>1000</v>
          </cell>
        </row>
        <row r="11">
          <cell r="B11" t="str">
            <v>EQUIPO DE CARPINTERIA</v>
          </cell>
          <cell r="C11" t="str">
            <v>dd</v>
          </cell>
          <cell r="D11">
            <v>25000</v>
          </cell>
        </row>
        <row r="12">
          <cell r="B12" t="str">
            <v>EQUIPO DE ORNAMENTACION</v>
          </cell>
          <cell r="C12" t="str">
            <v>dd</v>
          </cell>
          <cell r="D12">
            <v>65000</v>
          </cell>
        </row>
        <row r="13">
          <cell r="B13" t="str">
            <v>EQUIPO SOLDADURA</v>
          </cell>
          <cell r="C13" t="str">
            <v>dd</v>
          </cell>
          <cell r="D13">
            <v>30000</v>
          </cell>
        </row>
        <row r="14">
          <cell r="B14" t="str">
            <v>EQUIPO TOPOGRAFICO</v>
          </cell>
          <cell r="C14" t="str">
            <v>dd</v>
          </cell>
          <cell r="D14">
            <v>250000</v>
          </cell>
        </row>
        <row r="15">
          <cell r="B15" t="str">
            <v>FORMALETA CANAL EN LAMINA</v>
          </cell>
          <cell r="C15" t="str">
            <v>dd</v>
          </cell>
          <cell r="D15">
            <v>5000</v>
          </cell>
        </row>
        <row r="16">
          <cell r="B16" t="str">
            <v>FORMALETA DE ENTREPISO POR M2</v>
          </cell>
          <cell r="C16" t="str">
            <v>Mes</v>
          </cell>
          <cell r="D16">
            <v>6500</v>
          </cell>
        </row>
        <row r="17">
          <cell r="B17" t="str">
            <v>FORK CLAMP</v>
          </cell>
          <cell r="C17" t="str">
            <v>dd</v>
          </cell>
          <cell r="D17">
            <v>90</v>
          </cell>
        </row>
        <row r="18">
          <cell r="B18" t="str">
            <v>LABORATORISTAS</v>
          </cell>
          <cell r="C18" t="str">
            <v>dd</v>
          </cell>
          <cell r="D18">
            <v>250000</v>
          </cell>
        </row>
        <row r="19">
          <cell r="B19" t="str">
            <v>GUADAÑA</v>
          </cell>
          <cell r="C19" t="str">
            <v>dd</v>
          </cell>
          <cell r="D19">
            <v>15000</v>
          </cell>
        </row>
        <row r="20">
          <cell r="B20" t="str">
            <v>ENSAYO PROCTOR MODIFICADO</v>
          </cell>
          <cell r="C20" t="str">
            <v>un</v>
          </cell>
          <cell r="D20">
            <v>95000</v>
          </cell>
        </row>
        <row r="21">
          <cell r="B21" t="str">
            <v>MEZCLADORA CONCRETO</v>
          </cell>
          <cell r="C21" t="str">
            <v>dd</v>
          </cell>
          <cell r="D21">
            <v>35000</v>
          </cell>
        </row>
        <row r="22">
          <cell r="B22" t="str">
            <v>MINICARGADOR BOBCAT 753</v>
          </cell>
          <cell r="C22" t="str">
            <v>hr</v>
          </cell>
          <cell r="D22">
            <v>60000</v>
          </cell>
        </row>
        <row r="23">
          <cell r="B23" t="str">
            <v>MORDAZA METÁLICA</v>
          </cell>
          <cell r="C23" t="str">
            <v>dd</v>
          </cell>
          <cell r="D23">
            <v>150</v>
          </cell>
        </row>
        <row r="24">
          <cell r="B24" t="str">
            <v>EQUIPOS LABORATORIOS</v>
          </cell>
          <cell r="C24" t="str">
            <v>dd</v>
          </cell>
          <cell r="D24">
            <v>80000</v>
          </cell>
        </row>
        <row r="25">
          <cell r="B25" t="str">
            <v>PARAL CORIENTE 2 a 3.50 m</v>
          </cell>
          <cell r="C25" t="str">
            <v>dd</v>
          </cell>
          <cell r="D25">
            <v>100</v>
          </cell>
        </row>
        <row r="26">
          <cell r="B26" t="str">
            <v>PISTOLA PARA EPOXICO</v>
          </cell>
          <cell r="C26" t="str">
            <v>dd</v>
          </cell>
          <cell r="D26">
            <v>7500</v>
          </cell>
        </row>
        <row r="27">
          <cell r="B27" t="str">
            <v>ENSAYO DENSIDAD DEL TERRENO</v>
          </cell>
          <cell r="C27" t="str">
            <v>un</v>
          </cell>
          <cell r="D27">
            <v>50000</v>
          </cell>
        </row>
        <row r="28">
          <cell r="B28" t="str">
            <v>PULIDORA</v>
          </cell>
          <cell r="C28" t="str">
            <v>dd</v>
          </cell>
          <cell r="D28">
            <v>25000</v>
          </cell>
        </row>
        <row r="29">
          <cell r="B29" t="str">
            <v>RANA</v>
          </cell>
          <cell r="C29" t="str">
            <v>dd</v>
          </cell>
          <cell r="D29">
            <v>30000</v>
          </cell>
        </row>
        <row r="30">
          <cell r="B30" t="str">
            <v>RETROEXCAVADORA + combustible+operario</v>
          </cell>
          <cell r="C30" t="str">
            <v>hr</v>
          </cell>
          <cell r="D30">
            <v>125000</v>
          </cell>
        </row>
        <row r="31">
          <cell r="B31" t="str">
            <v>SOPLETE</v>
          </cell>
          <cell r="C31" t="str">
            <v>dd</v>
          </cell>
          <cell r="D31">
            <v>15000</v>
          </cell>
        </row>
        <row r="32">
          <cell r="B32" t="str">
            <v>TALADRO</v>
          </cell>
          <cell r="C32" t="str">
            <v>dd</v>
          </cell>
          <cell r="D32">
            <v>15000</v>
          </cell>
        </row>
        <row r="33">
          <cell r="B33" t="str">
            <v>VIBRADOR A GASOLINA</v>
          </cell>
          <cell r="C33" t="str">
            <v>dd</v>
          </cell>
          <cell r="D33">
            <v>30000</v>
          </cell>
        </row>
        <row r="34">
          <cell r="B34" t="str">
            <v>EQUIPO DE EXCAVACION Y HORMIGADO PILOTES(Combustible+operario+Transporte)</v>
          </cell>
          <cell r="C34" t="str">
            <v>hr</v>
          </cell>
          <cell r="D34">
            <v>650000</v>
          </cell>
        </row>
        <row r="35">
          <cell r="B35" t="str">
            <v>VIBROCOMPACTADOR</v>
          </cell>
          <cell r="C35" t="str">
            <v>dd</v>
          </cell>
          <cell r="D35">
            <v>40000</v>
          </cell>
        </row>
        <row r="36">
          <cell r="B36" t="str">
            <v>HIDROLAVADORA</v>
          </cell>
          <cell r="C36" t="str">
            <v>dd</v>
          </cell>
          <cell r="D36">
            <v>25000</v>
          </cell>
        </row>
      </sheetData>
      <sheetData sheetId="4"/>
      <sheetData sheetId="5"/>
      <sheetData sheetId="6"/>
      <sheetData sheetId="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OS OFICINA"/>
      <sheetName val="COSTOS CAMPAMENTO"/>
      <sheetName val="AIU"/>
      <sheetName val="FACTOR PRESTACIONAL 2009"/>
      <sheetName val="HISTORICO"/>
      <sheetName val="SALARIO CELADOR 2008"/>
      <sheetName val="TARIFAS REGISTRO DISTRITAL 2009"/>
      <sheetName val="Insumos"/>
      <sheetName val="EQUIPO"/>
      <sheetName val="MATERIAL"/>
      <sheetName val="materiales"/>
      <sheetName val="otros"/>
      <sheetName val="APU"/>
      <sheetName val="Presup_Cancha"/>
      <sheetName val="Res-Accide-10"/>
      <sheetName val="basicos"/>
      <sheetName val="BAS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álisis de precios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 REGIONES"/>
      <sheetName val="PRESUPUESTO DETALLADO"/>
      <sheetName val="PRESUPUESTO BASE POLIDEPORTIVO"/>
      <sheetName val="AHORROS"/>
      <sheetName val="días habiles 2015"/>
      <sheetName val="MANTENIMIENTO y OPERACIÓN"/>
      <sheetName val="PRESUPUESTO DE E&amp;D"/>
      <sheetName val="Análisis de precios"/>
      <sheetName val="Despiece"/>
      <sheetName val="COSTOS OFICINA"/>
      <sheetName val="COSTOS CAMPAMENTO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M1" t="str">
            <v>Domingo</v>
          </cell>
        </row>
        <row r="2">
          <cell r="D2">
            <v>42005</v>
          </cell>
          <cell r="M2" t="str">
            <v>Sábado y domingo</v>
          </cell>
        </row>
        <row r="3">
          <cell r="D3">
            <v>42016</v>
          </cell>
        </row>
        <row r="4">
          <cell r="D4">
            <v>42086</v>
          </cell>
        </row>
        <row r="5">
          <cell r="D5">
            <v>42096</v>
          </cell>
        </row>
        <row r="6">
          <cell r="D6">
            <v>42097</v>
          </cell>
        </row>
        <row r="7">
          <cell r="D7">
            <v>42125</v>
          </cell>
        </row>
        <row r="8">
          <cell r="D8">
            <v>42142</v>
          </cell>
        </row>
        <row r="9">
          <cell r="D9">
            <v>42166</v>
          </cell>
        </row>
        <row r="10">
          <cell r="D10">
            <v>42163</v>
          </cell>
        </row>
        <row r="11">
          <cell r="D11">
            <v>42170</v>
          </cell>
        </row>
        <row r="12">
          <cell r="D12">
            <v>42184</v>
          </cell>
        </row>
        <row r="13">
          <cell r="D13">
            <v>42187</v>
          </cell>
        </row>
        <row r="14">
          <cell r="D14">
            <v>42205</v>
          </cell>
        </row>
        <row r="15">
          <cell r="D15">
            <v>42223</v>
          </cell>
        </row>
        <row r="16">
          <cell r="D16">
            <v>42233</v>
          </cell>
        </row>
        <row r="17">
          <cell r="D17">
            <v>42289</v>
          </cell>
        </row>
        <row r="18">
          <cell r="D18">
            <v>42310</v>
          </cell>
        </row>
        <row r="19">
          <cell r="D19">
            <v>42324</v>
          </cell>
        </row>
        <row r="20">
          <cell r="D20">
            <v>42346</v>
          </cell>
        </row>
        <row r="21">
          <cell r="D21">
            <v>42363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UBERIA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ADRILLA"/>
      <sheetName val="APU"/>
      <sheetName val="INSUMOS"/>
      <sheetName val="Hoja3"/>
      <sheetName val="PRESUPUESTO"/>
      <sheetName val="Hoja2"/>
    </sheetNames>
    <sheetDataSet>
      <sheetData sheetId="0"/>
      <sheetData sheetId="1"/>
      <sheetData sheetId="2">
        <row r="1">
          <cell r="A1" t="str">
            <v>ABRAZADERA DE SALIDA TIPO 1</v>
          </cell>
        </row>
        <row r="2">
          <cell r="A2" t="str">
            <v xml:space="preserve">ABRAZADERA DE SALIDA TIPO 2 </v>
          </cell>
        </row>
        <row r="3">
          <cell r="A3" t="str">
            <v>ABRAZADERA DE SALIDA TIPO 3</v>
          </cell>
        </row>
        <row r="4">
          <cell r="A4" t="str">
            <v>ABRAZADERA DE SALIDA TIPO 4</v>
          </cell>
        </row>
        <row r="5">
          <cell r="A5" t="str">
            <v xml:space="preserve">ABRAZADERA EN  U </v>
          </cell>
        </row>
        <row r="6">
          <cell r="A6" t="str">
            <v xml:space="preserve">ABRAZADERA O COLLARIN  DE  10 - 12 DOS SALIDAS - pl. 1/4 Idem </v>
          </cell>
        </row>
        <row r="7">
          <cell r="A7" t="str">
            <v xml:space="preserve">ABRAZADERA O COLLARIN  LISO DE  6 - 8 pl. 1/4 BAJO SILICIO Tipo-3  </v>
          </cell>
        </row>
        <row r="8">
          <cell r="A8" t="str">
            <v>ABRAZADERA O COLLARIN DE  7 - 8 UNA SALIDA - pl. 1/4 Idem Tipo 3</v>
          </cell>
        </row>
        <row r="9">
          <cell r="A9" t="str">
            <v xml:space="preserve">ABRAZADERA O COLLARIN DE 4 - 6 UNA SALIDA - pl. 1/4 Idem Tipo 2 </v>
          </cell>
        </row>
        <row r="10">
          <cell r="A10" t="str">
            <v xml:space="preserve">ABRAZADERA O COLLARIN DE 6 - 8 DOS SALIDAS - pl. 1/4 Idem Tipo 3 </v>
          </cell>
        </row>
        <row r="11">
          <cell r="A11" t="str">
            <v xml:space="preserve">ABRAZADERA O COLLARIN DE 9- 10 UNA SALIDA- pl. 1/4 Idem Tipo 4 </v>
          </cell>
        </row>
        <row r="12">
          <cell r="A12" t="str">
            <v xml:space="preserve">ABRAZADERA O COLLARIN LISO DE 4 - 5 pl. 1/4 BAJO SILICIO Tipo-2 </v>
          </cell>
        </row>
        <row r="13">
          <cell r="A13" t="str">
            <v xml:space="preserve">ABRAZADERA O COLLARIN LISO DE 9 - 10 pl. 1/4 BAJO SILICIO Tipo-4 </v>
          </cell>
        </row>
        <row r="14">
          <cell r="A14" t="str">
            <v xml:space="preserve">ABRAZADERA O COLLARIN PARA TRANSFORMADOR DE 7 - 8 pl. 2 -BAJO SILICIO T-2 </v>
          </cell>
        </row>
        <row r="15">
          <cell r="A15" t="str">
            <v xml:space="preserve">ABRAZADERA O COLLARIN PARA TRANSFORMADOR DE 9 - 10 pl. 2 BAJO SILICIO T-3 </v>
          </cell>
        </row>
        <row r="16">
          <cell r="A16" t="str">
            <v xml:space="preserve">ACCESORIOS </v>
          </cell>
        </row>
        <row r="17">
          <cell r="A17" t="str">
            <v>ACCESORIOS DE FIJACION</v>
          </cell>
        </row>
        <row r="18">
          <cell r="A18" t="str">
            <v>ADAPTADOR DE TIERRA -ATERRIZAJE PARA CABLE Nº 1 AWG SA1</v>
          </cell>
        </row>
        <row r="19">
          <cell r="A19" t="str">
            <v>ADAPTADOR DE TIERRA -ATERRIZAJE PARA CABLE Nº 2 AWG SA2</v>
          </cell>
        </row>
        <row r="20">
          <cell r="A20" t="str">
            <v>ADAPTADOR PARA CABLE 600A - 2 AWG 15KV</v>
          </cell>
        </row>
        <row r="21">
          <cell r="A21" t="str">
            <v>ADAPTADOR PARA CABLE 600A - 2/0 AWG 15KV</v>
          </cell>
        </row>
        <row r="22">
          <cell r="A22" t="str">
            <v>ADAPTADOR PARA CABLE 600A - 4/0 AWG 15KV</v>
          </cell>
        </row>
        <row r="23">
          <cell r="A23" t="str">
            <v>ADAPTADOR TERMINAL PVC 1 1/2"</v>
          </cell>
        </row>
        <row r="24">
          <cell r="A24" t="str">
            <v>ADAPTADOR TERMINAL PVC 1 1/4"</v>
          </cell>
        </row>
        <row r="25">
          <cell r="A25" t="str">
            <v>ADAPTADOR TERMINAL PVC 1"</v>
          </cell>
        </row>
        <row r="26">
          <cell r="A26" t="str">
            <v>ADAPTADOR TERMINAL PVC 1/2"</v>
          </cell>
        </row>
        <row r="27">
          <cell r="A27" t="str">
            <v>ADAPTADOR TERMINAL PVC 2"</v>
          </cell>
        </row>
        <row r="28">
          <cell r="A28" t="str">
            <v>ADAPTADOR TERMINAL PVC 3"</v>
          </cell>
        </row>
        <row r="29">
          <cell r="A29" t="str">
            <v>ADAPTADOR TERMINAL PVC 3/4"</v>
          </cell>
        </row>
        <row r="30">
          <cell r="A30" t="str">
            <v>ADICIONALES</v>
          </cell>
        </row>
        <row r="31">
          <cell r="A31" t="str">
            <v>AISLADOR DE PIN ANSI 55-5 EN MATERIAL POLIMERICO</v>
          </cell>
        </row>
        <row r="32">
          <cell r="A32" t="str">
            <v>AISLADOR DE SUSPENSION ANSI 52-1, EN MATERIAL POLIMERICO</v>
          </cell>
        </row>
        <row r="33">
          <cell r="A33" t="str">
            <v>AISLADOR LINE POST 15 kV ANSI 57-1</v>
          </cell>
        </row>
        <row r="34">
          <cell r="A34" t="str">
            <v>AISLADOR POLIMERICO SUSPENSION ANSI 52-4</v>
          </cell>
        </row>
        <row r="35">
          <cell r="A35" t="str">
            <v>AISLADOR PORCELANA SUSPENSION ANSI 52-1</v>
          </cell>
        </row>
        <row r="36">
          <cell r="A36" t="str">
            <v>AISLADOR PORCELANA SUSPENSION ANSI 52-3</v>
          </cell>
        </row>
        <row r="37">
          <cell r="A37" t="str">
            <v>AISLADOR PORCELANA SUSPENSION ANSI 52-4</v>
          </cell>
        </row>
        <row r="38">
          <cell r="A38" t="str">
            <v>AISLADOR PORCELANA TIPO CARRETE ANSI 53-2</v>
          </cell>
        </row>
        <row r="39">
          <cell r="A39" t="str">
            <v>AISLADOR PORCELANA TIPO CARRETE ANSI 53-3</v>
          </cell>
        </row>
        <row r="40">
          <cell r="A40" t="str">
            <v>AISLADOR PORCELANA TIPO PIN O PARA ESPIGO DE 13,2 KV  ANSI 55-4</v>
          </cell>
        </row>
        <row r="41">
          <cell r="A41" t="str">
            <v>AISLADOR PORCELANA TIPO PIN O PARA ESPIGO DE 15 KV  ANSI 55-5</v>
          </cell>
        </row>
        <row r="42">
          <cell r="A42" t="str">
            <v>AISLADOR PORCELANA TIPO TENSOR ANSI 54-1</v>
          </cell>
        </row>
        <row r="43">
          <cell r="A43" t="str">
            <v>AISLADOR PORCELANA TIPO TENSOR ANSI 54-2</v>
          </cell>
        </row>
        <row r="44">
          <cell r="A44" t="str">
            <v>AISLADOR PORCELANA TIPO TENSOR ANSI 54-3</v>
          </cell>
        </row>
        <row r="45">
          <cell r="A45" t="str">
            <v>AISLADOR PORCELANA TIPO TENSOR ANSI 54-4</v>
          </cell>
        </row>
        <row r="46">
          <cell r="A46" t="str">
            <v xml:space="preserve">AISLADOR SUSPENSION SINTETICO-POLIMERICO 15kV </v>
          </cell>
        </row>
        <row r="47">
          <cell r="A47" t="str">
            <v xml:space="preserve">ALAMBRE COBRE DESNUDO Nº 10 AWG  </v>
          </cell>
        </row>
        <row r="48">
          <cell r="A48" t="str">
            <v>ALAMBRE COBRE DESNUDO Nº 12 AWG</v>
          </cell>
        </row>
        <row r="49">
          <cell r="A49" t="str">
            <v>ALAMBRE COBRE DESNUDO Nº 14 AWG</v>
          </cell>
        </row>
        <row r="50">
          <cell r="A50" t="str">
            <v>ALAMBRE COBRE DESNUDO Nº 8 AWG</v>
          </cell>
        </row>
        <row r="51">
          <cell r="A51" t="str">
            <v>ALAMBRE COBRE Nº 10 THHN  AWG</v>
          </cell>
        </row>
        <row r="52">
          <cell r="A52" t="str">
            <v>ALAMBRE COBRE Nº 12 THHN  AWG</v>
          </cell>
        </row>
        <row r="53">
          <cell r="A53" t="str">
            <v>ALAMBRE COBRE Nº 6 THHN  AWG</v>
          </cell>
        </row>
        <row r="54">
          <cell r="A54" t="str">
            <v>ALAMBRE COBRE Nº 8 THHN  AWG</v>
          </cell>
        </row>
        <row r="55">
          <cell r="A55" t="str">
            <v>AMARRE PLÁSTICO PARA CABLE TRENZADO</v>
          </cell>
        </row>
        <row r="56">
          <cell r="A56" t="str">
            <v>AMARRE PREFORMADO</v>
          </cell>
        </row>
        <row r="57">
          <cell r="A57" t="str">
            <v xml:space="preserve">AMORTIGUADOR PARA VIBRACION Nº  2 </v>
          </cell>
        </row>
        <row r="58">
          <cell r="A58" t="str">
            <v>AMORTIGUADOR PARA VIBRACION Nº 1/0-2/0 1.8kg</v>
          </cell>
        </row>
        <row r="59">
          <cell r="A59" t="str">
            <v>ANALIZADOR O MONITOR DE RED PM820 DE SQUARE D, CIRCUTOR O SIMILAR CON SELLO UL</v>
          </cell>
        </row>
        <row r="60">
          <cell r="A60" t="str">
            <v xml:space="preserve">ARANDELA CUADRADA PLANA 2X2X1/2 . Pl 1/8 </v>
          </cell>
        </row>
        <row r="61">
          <cell r="A61" t="str">
            <v xml:space="preserve">ARANDELA CUADRADA PLANA DE 2X2X5/8. Pl. 1/8 </v>
          </cell>
        </row>
        <row r="62">
          <cell r="A62" t="str">
            <v>ARANDELA CUADRADA PLANA DE 4X4X5/8. Pl. 1/8</v>
          </cell>
        </row>
        <row r="63">
          <cell r="A63" t="str">
            <v xml:space="preserve">ARANDELA PRESION GUAZA 1/2 </v>
          </cell>
        </row>
        <row r="64">
          <cell r="A64" t="str">
            <v>ARANDELA PRESION GUAZA 5/8</v>
          </cell>
        </row>
        <row r="65">
          <cell r="A65" t="str">
            <v>ARANDELA REDONDA 1/2</v>
          </cell>
        </row>
        <row r="66">
          <cell r="A66" t="str">
            <v>ARANDELA REDONDA 5/8</v>
          </cell>
        </row>
        <row r="67">
          <cell r="A67" t="str">
            <v>Bala Dulux 2 x 26W LUMINARIA FLUORESCENTE COMPACTA AHORRADORA DE ENERGÍA, PARA INSTALAR EN CIELO-RASO FALSO.BOMBILLO DULUX 26W DOBLE TWIN.ARO BLANCO, REFLECTOR EN ALUMINIO BRILLADO.BALASTO ELECTRÓNICO.</v>
          </cell>
        </row>
        <row r="68">
          <cell r="A68" t="str">
            <v xml:space="preserve">BALA FC PROFESIONAL TURBO RASER , LUMINARIA FLUORESCENTE COMPACTA AHORRADORA DE ENERGIA PARA INSTALAR NE CIELO RASO FALSO,  INCLUYE DOS BOMBILLAS DE 26W  + BALASTO DE 2X26 </v>
          </cell>
        </row>
        <row r="69">
          <cell r="A69" t="str">
            <v>BALA PISO HIDROLED BACK LIGHT, CUERPO EN ACERO INOXIDABLE Y ARO EN ACERO INOX , SUMERGIBLE HASTA 4 METROS, 7 LEDS X 1 WATT, 24 VDC DE COLOR VERDE, IP68.</v>
          </cell>
        </row>
        <row r="70">
          <cell r="A70" t="str">
            <v>BANDA PLASTICA DE SEÑALIZACIÓN SEGÚN NORMA CS273</v>
          </cell>
        </row>
        <row r="71">
          <cell r="A71" t="str">
            <v xml:space="preserve">BARRAJE PREMOLDEADO PARA BAJA TENSION SUMERGIBLE 500A-4 PUESTOS </v>
          </cell>
        </row>
        <row r="72">
          <cell r="A72" t="str">
            <v xml:space="preserve">BARRAJE PREMOLDEADO PARA BAJA TENSION SUMERGIBLE 500A-6 PUESTOS </v>
          </cell>
        </row>
        <row r="73">
          <cell r="A73" t="str">
            <v>BASE RECEBO COMUN. Extendido y compactado con Benitin</v>
          </cell>
        </row>
        <row r="74">
          <cell r="A74" t="str">
            <v>BASE Y FOTOCELDA TIPO ESTERIOR PARA ALUMBRADO INSTALADA.</v>
          </cell>
        </row>
        <row r="75">
          <cell r="A75" t="str">
            <v>BAYONETA PARA ANGULO  DOBLE 2 1/2 X 2 1/2 X 1/4 X 1,50 m</v>
          </cell>
        </row>
        <row r="76">
          <cell r="A76" t="str">
            <v>BAYONETA PARA ANGULO 2-1/2 x 1/4 x 2,00 m</v>
          </cell>
        </row>
        <row r="77">
          <cell r="A77" t="str">
            <v xml:space="preserve">BAYONETA PARA RETENCION 2.1/2 x 1/4 x 1.50 m </v>
          </cell>
        </row>
        <row r="78">
          <cell r="A78" t="str">
            <v>BAYONETA PARA RETENCION 2-1/2 x 1/4 x 2,00 m</v>
          </cell>
        </row>
        <row r="79">
          <cell r="A79" t="str">
            <v>BAYONETA SENCILLA  2-1/2 x 1/4 x 1,50 m</v>
          </cell>
        </row>
        <row r="80">
          <cell r="A80" t="str">
            <v xml:space="preserve">BAYONETA SENCILLA  2-1/2 x 1/4 x 2,00 m </v>
          </cell>
        </row>
        <row r="81">
          <cell r="A81" t="str">
            <v>BOMBILLA 220 V SODIO</v>
          </cell>
        </row>
        <row r="82">
          <cell r="A82" t="str">
            <v>BOMBILLA LED 220 V</v>
          </cell>
        </row>
        <row r="83">
          <cell r="A83" t="str">
            <v>BOQUILLA-TERMINAL (Juego de Tuerca y Contratuerca) PARA TUBERIA IMC GALVANIZADA 3</v>
          </cell>
        </row>
        <row r="84">
          <cell r="A84" t="str">
            <v>BOQUILLA-TERMINAL (Juego de Tuerca y Contratuerca) PARA TUBERIA IMC GALVANIZADA 3/4</v>
          </cell>
        </row>
        <row r="85">
          <cell r="A85" t="str">
            <v>BOQUILLA-TERMINAL (Juego de Tuerca y Contratuerca) PARA TUBERIA IMC GALVANIZADA 4</v>
          </cell>
        </row>
        <row r="86">
          <cell r="A86" t="str">
            <v>BORNA DE PONCHAR ESTAÑO DE DOS HUECOS Nº 1/0</v>
          </cell>
        </row>
        <row r="87">
          <cell r="A87" t="str">
            <v>BORNA DE PONCHAR ESTAÑO DE DOS HUECOS Nº 2/0</v>
          </cell>
        </row>
        <row r="88">
          <cell r="A88" t="str">
            <v>BORNA DE PONCHAR ESTAÑO DE DOS HUECOS Nº 4/0</v>
          </cell>
        </row>
        <row r="89">
          <cell r="A89" t="str">
            <v>BORNA DE PONCHAR ESTAÑO DE UN HUECO Nº 1/0</v>
          </cell>
        </row>
        <row r="90">
          <cell r="A90" t="str">
            <v>BORNA DE PONCHAR ESTAÑO DE UN HUECO Nº 2</v>
          </cell>
        </row>
        <row r="91">
          <cell r="A91" t="str">
            <v>BORNA DE PONCHAR ESTAÑO DE UN HUECO Nº 2/0</v>
          </cell>
        </row>
        <row r="92">
          <cell r="A92" t="str">
            <v>BORNA DE PONCHAR ESTAÑO DE UN HUECO Nº 250</v>
          </cell>
        </row>
        <row r="93">
          <cell r="A93" t="str">
            <v>BORNA DE PONCHAR ESTAÑO DE UN HUECO Nº 3/0</v>
          </cell>
        </row>
        <row r="94">
          <cell r="A94" t="str">
            <v>BORNA DE PONCHAR ESTAÑO DE UN HUECO Nº 350</v>
          </cell>
        </row>
        <row r="95">
          <cell r="A95" t="str">
            <v>BORNA DE PONCHAR ESTAÑO DE UN HUECO Nº 4</v>
          </cell>
        </row>
        <row r="96">
          <cell r="A96" t="str">
            <v>BORNA DE PONCHAR ESTAÑO DE UN HUECO Nº 4/0</v>
          </cell>
        </row>
        <row r="97">
          <cell r="A97" t="str">
            <v>BORNA DE PONCHAR ESTAÑO DE UN HUECO Nº 500</v>
          </cell>
        </row>
        <row r="98">
          <cell r="A98" t="str">
            <v>BORNA DE PONCHAR ESTAÑO DE UN HUECO Nº 6</v>
          </cell>
        </row>
        <row r="99">
          <cell r="A99" t="str">
            <v>BORNA DE PONCHAR ESTAÑO DE UN HUECO Nº 750</v>
          </cell>
        </row>
        <row r="100">
          <cell r="A100" t="str">
            <v>BORNA DE PONCHAR ESTAÑO DE UN HUECO Nº 8</v>
          </cell>
        </row>
        <row r="101">
          <cell r="A101" t="str">
            <v xml:space="preserve">BRAZO PARA SOPORTE LUMINARIA HORIZONTAL 1 1/2 x 1,20 m CON COLLARIN 250-400W (CODENSA) </v>
          </cell>
        </row>
        <row r="102">
          <cell r="A102" t="str">
            <v xml:space="preserve">BRAZO PARA SOPORTE LUMINARIA HORIZONTAL 3/4 x 1,20 m 1 DOBLEZ  70-150 W </v>
          </cell>
        </row>
        <row r="103">
          <cell r="A103" t="str">
            <v xml:space="preserve">BRAZO PARA SOPORTE LUMINARIA HORIZONTAL 3/4 x 1,20 m CON COLLARIN (CODENSA) </v>
          </cell>
        </row>
        <row r="104">
          <cell r="A104" t="str">
            <v xml:space="preserve">CABLE COAXIAL RG-6 PARA SEÑAL DE TELEVISION APANTALLODO NIPPON.  </v>
          </cell>
        </row>
        <row r="105">
          <cell r="A105" t="str">
            <v>CABLE CUADRUPLEX AUTOSOPORTADOS 90ºC 600V  Nº  3X2/0+1X1/0 CONDUCTOR DE ALUMIIO AISLADO EN POLITILENO RETICULADO (XLP)</v>
          </cell>
        </row>
        <row r="106">
          <cell r="A106" t="str">
            <v>CABLE CUADRUPLEX AUTOSOPORTADOS 90ºC 600V  Nº  3X2+1X2 CONDUCTOR DE ALUMIIO AISLADO EN POLITILENO RETICULADO (XLP)</v>
          </cell>
        </row>
        <row r="107">
          <cell r="A107" t="str">
            <v>CABLE CUADRUPLEX AUTOSOPORTADOS 90ºC 600V  Nº  4X1/0 CONDUCTOR DE ALUMIIO AISLADO EN POLITILENO RETICULADO (XLP)</v>
          </cell>
        </row>
        <row r="108">
          <cell r="A108" t="str">
            <v>CABLE CUADRUPLEX AUTOSOPORTADOS 90ºC 600V  Nº  4X4/0 CONDUCTOR DE ALUMIIO AISLADO EN POLITILENO RETICULADO (XLP)</v>
          </cell>
        </row>
        <row r="109">
          <cell r="A109" t="str">
            <v>CABLE DE ALUMINIO AISLADO ACS Nº 1/0 THHN AWG</v>
          </cell>
        </row>
        <row r="110">
          <cell r="A110" t="str">
            <v>CABLE DE ALUMINIO AISLADO ACS Nº 2 THHN AWG</v>
          </cell>
        </row>
        <row r="111">
          <cell r="A111" t="str">
            <v>CABLE DE ALUMINIO AISLADO ACS Nº 2/0 THHN AWG</v>
          </cell>
        </row>
        <row r="112">
          <cell r="A112" t="str">
            <v>CABLE DE ALUMINIO AISLADO ACS Nº 4 THHN AWG</v>
          </cell>
        </row>
        <row r="113">
          <cell r="A113" t="str">
            <v>CABLE DE ALUMINIO AISLADO ACS Nº 4/0 THHN AWG</v>
          </cell>
        </row>
        <row r="114">
          <cell r="A114" t="str">
            <v>CABLE DE ALUMINIO AISLADO ACS Nº 6 THHN AWG</v>
          </cell>
        </row>
        <row r="115">
          <cell r="A115" t="str">
            <v>CABLE DE ALUMINIO DESNUDO CON ALAMA  ACERO GALVANIZADO ACSR Nº 2/0 AWG</v>
          </cell>
        </row>
        <row r="116">
          <cell r="A116" t="str">
            <v>CABLE DE ALUMINIO DESNUDO CON ALAMA  ACERO GALVANIZADO ACSR Nº 4 AWG</v>
          </cell>
        </row>
        <row r="117">
          <cell r="A117" t="str">
            <v>CABLE DE ALUMINIO DESNUDO CON ALMA  ACERO GALVANIZADO ACSR Nº 1/0 AWG</v>
          </cell>
        </row>
        <row r="118">
          <cell r="A118" t="str">
            <v>CABLE DE ALUMINIO DESNUDO CON ALMA  ACERO GALVANIZADO ACSR Nº 2 AWG</v>
          </cell>
        </row>
        <row r="119">
          <cell r="A119" t="str">
            <v>CABLE DE ALUMINIO DESNUDO CON ALMA  ACERO GALVANIZADO ACSR Nº 4/0 AWG</v>
          </cell>
        </row>
        <row r="120">
          <cell r="A120" t="str">
            <v>CABLE DE ALUMINIO SEMIAISLADO Nº 2  XLPE-TK AWG</v>
          </cell>
        </row>
        <row r="121">
          <cell r="A121" t="str">
            <v>CABLE DE COBRE AISLADO CON NEUTRO CONCÉNTRICO, 2X Nº14 AWG 600 V</v>
          </cell>
        </row>
        <row r="122">
          <cell r="A122" t="str">
            <v>CABLE DE COBRE ANTIFRAUDE CON NEUTRO CONCENTRICO 1x 8 + 1x 8 AWG (XLPE/PVC-SR)</v>
          </cell>
        </row>
        <row r="123">
          <cell r="A123" t="str">
            <v>CABLE DE COBRE ANTIFRAUDE CON NEUTRO CONCENTRICO 2 x 6 + 1 x 6 ,AWG (XLPE/XLPE) REDONDA</v>
          </cell>
        </row>
        <row r="124">
          <cell r="A124" t="str">
            <v>CABLE DE COBRE ANTIFRAUDE CON NEUTRO CONCENTRICO 2 x 8 + 1 x 8 AWG (PE/PE) REDONDA</v>
          </cell>
        </row>
        <row r="125">
          <cell r="A125" t="str">
            <v>CABLE DE COBRE ANTIFRAUDE CON NEUTRO CONCENTRICO 2 x 8 + 1 x 8 AWG (PE/PVC-SR) PLANO</v>
          </cell>
        </row>
        <row r="126">
          <cell r="A126" t="str">
            <v>CABLE DE COBRE ANTIFRAUDE CON NEUTRO CONCENTRICO 2X8 + 1X10 AWG (PVC/PVC) PLANO</v>
          </cell>
        </row>
        <row r="127">
          <cell r="A127" t="str">
            <v xml:space="preserve">CABLE DE COBRE ANTIFRAUDE CON NEUTRO CONCENTRICO 3 x 6 + 1 x 6 AWG (PE/PVC) </v>
          </cell>
        </row>
        <row r="128">
          <cell r="A128" t="str">
            <v xml:space="preserve">CABLE DE COBRE ANTIFRAUDE CON NEUTRO CONCENTRICO 3 x 8 + 1 x 8 AWG (PE/PVC) </v>
          </cell>
        </row>
        <row r="129">
          <cell r="A129" t="str">
            <v xml:space="preserve">CABLE DE COBRE ANTIFRAUDE CON NEUTRO CONCENTRICO 3X6 + 1X8 AWG (PE/PVC) </v>
          </cell>
        </row>
        <row r="130">
          <cell r="A130" t="str">
            <v xml:space="preserve">CABLE DE COBRE ANTIFRAUDE CON NEUTRO CONCENTRICO 3X8 + 1X10 AWG (PE/PVC) </v>
          </cell>
        </row>
        <row r="131">
          <cell r="A131" t="str">
            <v xml:space="preserve">CABLE DE COBRE ANTIFRAUDE POTENCIA 3X4 + 1X6 AWG (PE/PVC-SR) </v>
          </cell>
        </row>
        <row r="132">
          <cell r="A132" t="str">
            <v xml:space="preserve">CABLE DE COBRE ANTIFRAUDE POTENCIA 3X6+1X8 AWG (PE/PVC-SR) </v>
          </cell>
        </row>
        <row r="133">
          <cell r="A133" t="str">
            <v xml:space="preserve">CABLE DE COBRE ANTIFRAUDE POTENCIA 3X8+1X10 AWG (PE/PVC) </v>
          </cell>
        </row>
        <row r="134">
          <cell r="A134" t="str">
            <v xml:space="preserve">CABLE DE COBRE ANTIFRAUDE TREBOL 3X2 + 1X4 AWG (PVC/PE) </v>
          </cell>
        </row>
        <row r="135">
          <cell r="A135" t="str">
            <v>CABLE DE COBRE CENTELFLEX Nº 1/0 AWG THHN</v>
          </cell>
        </row>
        <row r="136">
          <cell r="A136" t="str">
            <v>CABLE DE COBRE CENTELFLEX Nº 10 AWG THHN</v>
          </cell>
        </row>
        <row r="137">
          <cell r="A137" t="str">
            <v>CABLE DE COBRE CENTELFLEX Nº 12 AWG THHN</v>
          </cell>
        </row>
        <row r="138">
          <cell r="A138" t="str">
            <v>CABLE DE COBRE CENTELFLEX Nº 2 AWG THHN</v>
          </cell>
        </row>
        <row r="139">
          <cell r="A139" t="str">
            <v>CABLE DE COBRE CENTELFLEX Nº 2/0 AWG THHN</v>
          </cell>
        </row>
        <row r="140">
          <cell r="A140" t="str">
            <v>CABLE DE COBRE CENTELFLEX Nº 250 KCMIL</v>
          </cell>
        </row>
        <row r="141">
          <cell r="A141" t="str">
            <v>CABLE DE COBRE CENTELFLEX Nº 3/0 AWG THHN</v>
          </cell>
        </row>
        <row r="142">
          <cell r="A142" t="str">
            <v>CABLE DE COBRE CENTELFLEX Nº 350 KCMIL</v>
          </cell>
        </row>
        <row r="143">
          <cell r="A143" t="str">
            <v>CABLE DE COBRE CENTELFLEX Nº 4 AWG THHN</v>
          </cell>
        </row>
        <row r="144">
          <cell r="A144" t="str">
            <v>CABLE DE COBRE CENTELFLEX Nº 4/0 AWG THHN</v>
          </cell>
        </row>
        <row r="145">
          <cell r="A145" t="str">
            <v>CABLE DE COBRE CENTELFLEX Nº 500 KCMIL</v>
          </cell>
        </row>
        <row r="146">
          <cell r="A146" t="str">
            <v>CABLE DE COBRE CENTELFLEX Nº 6 AWG THHN</v>
          </cell>
        </row>
        <row r="147">
          <cell r="A147" t="str">
            <v>CABLE DE COBRE CENTELFLEX Nº 8 AWG THHN</v>
          </cell>
        </row>
        <row r="148">
          <cell r="A148" t="str">
            <v>CABLE DE COBRE DESNUDO Nº 1/0  AWG</v>
          </cell>
        </row>
        <row r="149">
          <cell r="A149" t="str">
            <v>CABLE DE COBRE DESNUDO Nº 10 AWG</v>
          </cell>
        </row>
        <row r="150">
          <cell r="A150" t="str">
            <v>CABLE DE COBRE DESNUDO Nº 2  AWG</v>
          </cell>
        </row>
        <row r="151">
          <cell r="A151" t="str">
            <v>CABLE DE COBRE DESNUDO Nº 2/0  AWG</v>
          </cell>
        </row>
        <row r="152">
          <cell r="A152" t="str">
            <v xml:space="preserve">CABLE DE COBRE DESNUDO Nº 4 AWG </v>
          </cell>
        </row>
        <row r="153">
          <cell r="A153" t="str">
            <v xml:space="preserve">CABLE DE COBRE DESNUDO Nº 4/0 AWG </v>
          </cell>
        </row>
        <row r="154">
          <cell r="A154" t="str">
            <v xml:space="preserve">CABLE DE COBRE DESNUDO Nº 6 AWG  </v>
          </cell>
        </row>
        <row r="155">
          <cell r="A155" t="str">
            <v xml:space="preserve">CABLE DE COBRE DESNUDO Nº 8 AWG </v>
          </cell>
        </row>
        <row r="156">
          <cell r="A156" t="str">
            <v>CABLE DE COBRE ENCAUCHETADO 2 x 12 THHN</v>
          </cell>
        </row>
        <row r="157">
          <cell r="A157" t="str">
            <v>CABLE DE COBRE ENCAUCHETADO 2 x 14 THHN</v>
          </cell>
        </row>
        <row r="158">
          <cell r="A158" t="str">
            <v>CABLE DE COBRE ENCAUCHETADO 3 x 12 THHN</v>
          </cell>
        </row>
        <row r="159">
          <cell r="A159" t="str">
            <v>CABLE DE COBRE ENCAUCHETADO 3 x 14 THHN</v>
          </cell>
        </row>
        <row r="160">
          <cell r="A160" t="str">
            <v>CABLE DE COBRE ENCAUCHETADO 3 x 16 THHN</v>
          </cell>
        </row>
        <row r="161">
          <cell r="A161" t="str">
            <v>CABLE DE COBRE MONOPOLAR  XLPE MV-90 15kV 90ºC CON NIVEL DE AISLAMIENTO  DE 100% Nº2 AWG</v>
          </cell>
        </row>
        <row r="162">
          <cell r="A162" t="str">
            <v>CABLE DE COBRE MONOPOLAR  XLPE MV-90 15kV 90ºC CON NIVEL DE AISLAMIENTO  DE 133% Nº2/0 AWG</v>
          </cell>
        </row>
        <row r="163">
          <cell r="A163" t="str">
            <v>CABLE DE COBRE MONOPOLAR XLPE MV-90 15kV 90ºC CON NIVEL DE AISLAMIENTO  DE 100% Nº1/0 AWG</v>
          </cell>
        </row>
        <row r="164">
          <cell r="A164" t="str">
            <v>CABLE DE COBRE MONOPOLAR XLPE MV-90 15kV 90ºC CON NIVEL DE AISLAMIENTO  DE 100% Nº2/0 AWG</v>
          </cell>
        </row>
        <row r="165">
          <cell r="A165" t="str">
            <v>CABLE DE COBRE MONOPOLAR XLPE MV-90 15kV 90ºC CON NIVEL DE AISLAMIENTO  DE 100% Nº4/0 AWG</v>
          </cell>
        </row>
        <row r="166">
          <cell r="A166" t="str">
            <v>CABLE DE COBRE MONOPOLAR XLPE MV-90 15kV 90ºC CON NIVEL DE AISLAMIENTO  DE 133% Nº1/0 AWG</v>
          </cell>
        </row>
        <row r="167">
          <cell r="A167" t="str">
            <v>CABLE DE COBRE MONOPOLAR XLPE MV-90 15kV 90ºC CON NIVEL DE AISLAMIENTO  DE 133% Nº2 AWG</v>
          </cell>
        </row>
        <row r="168">
          <cell r="A168" t="str">
            <v>CABLE DE COBRE MONOPOLAR XLPE MV-90 15kV 90ºC CON NIVEL DE AISLAMIENTO  DE 133% Nº4/0 AWG</v>
          </cell>
        </row>
        <row r="169">
          <cell r="A169" t="str">
            <v>CABLE DE COBRE Nº 1/0 THHN  AWG</v>
          </cell>
        </row>
        <row r="170">
          <cell r="A170" t="str">
            <v xml:space="preserve">CABLE DE COBRE Nº 10 THHN AWG </v>
          </cell>
        </row>
        <row r="171">
          <cell r="A171" t="str">
            <v>CABLE DE COBRE Nº 12 THHN AWG</v>
          </cell>
        </row>
        <row r="172">
          <cell r="A172" t="str">
            <v>CABLE DE COBRE Nº 14 THHN AWG</v>
          </cell>
        </row>
        <row r="173">
          <cell r="A173" t="str">
            <v>CABLE DE COBRE Nº 2 THHN AWG</v>
          </cell>
        </row>
        <row r="174">
          <cell r="A174" t="str">
            <v>CABLE DE COBRE Nº 2/0 THHN  AWG</v>
          </cell>
        </row>
        <row r="175">
          <cell r="A175" t="str">
            <v>CABLE DE COBRE Nº 3/0 THHN  AWG</v>
          </cell>
        </row>
        <row r="176">
          <cell r="A176" t="str">
            <v>CABLE DE COBRE Nº 300 THHN MCM</v>
          </cell>
        </row>
        <row r="177">
          <cell r="A177" t="str">
            <v>CABLE DE COBRE Nº 350 THHN MCM</v>
          </cell>
        </row>
        <row r="178">
          <cell r="A178" t="str">
            <v xml:space="preserve">CABLE DE COBRE Nº 4 THHN AWG </v>
          </cell>
        </row>
        <row r="179">
          <cell r="A179" t="str">
            <v>CABLE DE COBRE Nº 4/0 THHN  AWG</v>
          </cell>
        </row>
        <row r="180">
          <cell r="A180" t="str">
            <v>CABLE DE COBRE Nº 500 THHN MCM</v>
          </cell>
        </row>
        <row r="181">
          <cell r="A181" t="str">
            <v xml:space="preserve">CABLE DE COBRE Nº 6 THHN AWG </v>
          </cell>
        </row>
        <row r="182">
          <cell r="A182" t="str">
            <v xml:space="preserve">CABLE DE COBRE Nº 8 THHN AWG </v>
          </cell>
        </row>
        <row r="183">
          <cell r="A183" t="str">
            <v>CABLE DE COBRE TRENZADO PARA DERIVACIONES 3X2+1X4 AWG</v>
          </cell>
        </row>
        <row r="184">
          <cell r="A184" t="str">
            <v>CABLE DE COBRE TRIPLEX  XLPE MV-90 15kV 90ºC CON NIVEL DE AISLAMIENTO  DE 100%  CON NEUTRO CONCENTRICO 33%  3 x 1/0 AWG</v>
          </cell>
        </row>
        <row r="185">
          <cell r="A185" t="str">
            <v>CABLE DE COBRE TRIPLEX  XLPE MV-90 15kV 90ºC CON NIVEL DE AISLAMIENTO  DE 100%  CON NEUTRO CONCENTRICO 33%  3 x 2 AWG</v>
          </cell>
        </row>
        <row r="186">
          <cell r="A186" t="str">
            <v>CABLE DE COBRE TRIPLEX  XLPE MV-90 15kV 90ºC CON NIVEL DE AISLAMIENTO  DE 100%  CON NEUTRO CONCENTRICO 33%  3 x 2/0 AWG</v>
          </cell>
        </row>
        <row r="187">
          <cell r="A187" t="str">
            <v>CABLE DE COBRE TRIPLEX  XLPE MV-90 15kV 90ºC CON NIVEL DE AISLAMIENTO  DE 100%  CON NEUTRO CONCENTRICO 33%  3 x 4/0 AWG</v>
          </cell>
        </row>
        <row r="188">
          <cell r="A188" t="str">
            <v>CABLE PARA SEÑALES SISTEMA CONTRA INDENDIO  2 PARES (2X22AWG) NPLF AISLAMIENTO EN PVC DE ACUERDO A LAS NORMAS IEC189, IEC708</v>
          </cell>
        </row>
        <row r="189">
          <cell r="A189" t="str">
            <v>CABLE SUPER GX DE 9,53 mm (3/8") GALVANIZADO O CABLE PARA RETENIDA DE 3/8 GALVANIZADO</v>
          </cell>
        </row>
        <row r="190">
          <cell r="A190" t="str">
            <v>CABLE TRIPLEX AUTOSOPORTADOS 90ºC 600V  Nº  2X1/0+1X2 CONDUCTOR DE ALUMINIO AISLADO EN POLITILENO RETICULADO (XLP)</v>
          </cell>
        </row>
        <row r="191">
          <cell r="A191" t="str">
            <v>CABLE TRIPLEX AUTOSOPORTADOS 90ºC 600V  Nº  2X2+1X4 CONDUCTOR DE ALUMINIO AISLADO EN POLITILENO RETICULADO (XLP)</v>
          </cell>
        </row>
        <row r="192">
          <cell r="A192" t="str">
            <v>CABLE TRIPLEX AUTOSOPORTADOS 90ºC 600V  Nº  3X1/0 CONDUCTOR DE ALUMINIO AISLADO EN POLITILENO RETICULADO (XLP)</v>
          </cell>
        </row>
        <row r="193">
          <cell r="A193" t="str">
            <v>CABLE TRIPLEX AUTOSOPORTADOS 90ºC 600V  Nº  3X2 CONDUCTOR DE ALUMINIO AISLADO EN POLITILENO RETICULADO (XLP)</v>
          </cell>
        </row>
        <row r="194">
          <cell r="A194" t="str">
            <v>CABLE TRIPLEX AUTOSOPORTADOS 90ºC 600V  Nº  3X2/0 CONDUCTOR DE ALUMINIO AISLADO EN POLITILENO RETICULADO (XLP)</v>
          </cell>
        </row>
        <row r="195">
          <cell r="A195" t="str">
            <v>CABLE TRIPLEX AUTOSOPORTADOS 90ºC 600V  Nº  3X4 CONDUCTOR DE ALUMINIO AISLADO EN POLITILENO RETICULADO (XLP)</v>
          </cell>
        </row>
        <row r="196">
          <cell r="A196" t="str">
            <v>CABLE TRIPLEX AUTOSOPORTADOS 90ºC 600V  Nº  3X4/0 CONDUCTOR DE ALUMINIO AISLADO EN POLITILENO RETICULADO (XLP)</v>
          </cell>
        </row>
        <row r="197">
          <cell r="A197" t="str">
            <v>CAJA CON TAPA CON CIERRE POR TORNILLO 1/4 DE VUELTA IP-55 IK-07, CON CUBIERTA OPACA. DIMENSIONES 105 x 105 x 105 mm</v>
          </cell>
        </row>
        <row r="198">
          <cell r="A198" t="str">
            <v>CAJA DE DERIVACION EN POLICARBONATO PARA 9 USUARIOS (especial para zonas de alta salinida)</v>
          </cell>
        </row>
        <row r="199">
          <cell r="A199" t="str">
            <v>CAJA DE MANIOBRA DE TRES VIAS SECCIONABLES. ENTRADA Y SALIDA 220 A. INCLUYE 9 BUJES INSERTOS DE 200 A. 9 BUJES TIPO POZO DE 200 A. 9 CODOS DE DESCONEXIÓN  15 Kv 200 A. 9 CODOS DE DESCONEXIÓN DE 600 A. 1 VÁLVULA DE RECIRCULACIÓN. 1 VÁLVULA DE DRENAJE. 1 VÁ</v>
          </cell>
        </row>
        <row r="200">
          <cell r="A200" t="str">
            <v>CAJA DE PASO 30 x 30 x 30  cm CON CHAPA PLASTICA LAMINA DE ACERO GALVANIZADA CON PINTURA EPOXICA CON PUERTA Y BISAGRA</v>
          </cell>
        </row>
        <row r="201">
          <cell r="A201" t="str">
            <v>CAJA FABRICADA EN ACERO LAMINADO EN FRIO IP-66, IK-10. DE 150 x 150 x 80 mm</v>
          </cell>
        </row>
        <row r="202">
          <cell r="A202" t="str">
            <v xml:space="preserve">CAJA METALICA GALVANIZADA (Ref: 5800) </v>
          </cell>
        </row>
        <row r="203">
          <cell r="A203" t="str">
            <v>CAJA METALICA GALVANIZADA OCTAGONAL</v>
          </cell>
        </row>
        <row r="204">
          <cell r="A204" t="str">
            <v>CAJA METALICA IP-66, IK-10, DIMENSIONES 15 x 30 x 12 cm</v>
          </cell>
        </row>
        <row r="205">
          <cell r="A205" t="str">
            <v xml:space="preserve">CAJA MONOFASICA PARA 12 CIRCUITOS 1F3H CON BARRAJE PARA 100A BARRA NEUTRO Y BARRA TIERRA </v>
          </cell>
        </row>
        <row r="206">
          <cell r="A206" t="str">
            <v xml:space="preserve">CAJA MONOFASICA PARA 2  CIRCUITOS 1F3H CON BARRAJE PARA 100A BARRA NEUTRO Y BARRA TIERRA </v>
          </cell>
        </row>
        <row r="207">
          <cell r="A207" t="str">
            <v xml:space="preserve">CAJA MONOFASICA PARA 3 CIRCUITOS 1F3H CON BARRAJE PARA 100A BARRA NEUTRO Y BARRA TIERRA </v>
          </cell>
        </row>
        <row r="208">
          <cell r="A208" t="str">
            <v xml:space="preserve">CAJA MONOFASICA PARA 4 CIRCUITOS 1F3H CON BARRAJE PARA 100A BARRA NEUTRO Y BARRA TIERRA </v>
          </cell>
        </row>
        <row r="209">
          <cell r="A209" t="str">
            <v xml:space="preserve">CAJA MONOFASICA PARA 6 CIRCUITOS 1F3H CON BARRA NEUTRO Y BARRA TIERRA </v>
          </cell>
        </row>
        <row r="210">
          <cell r="A210" t="str">
            <v xml:space="preserve">CAJA MONOFASICA PARA 9 CIRCUITOS 1F3H CON BARRAJE PARA 100A BARRA NEUTRO Y BARRA TIERRA </v>
          </cell>
        </row>
        <row r="211">
          <cell r="A211" t="str">
            <v>CAJA OCTOGONAL GALVANIZADA (CAJA EMP GALV.OCTAGONAL 4")</v>
          </cell>
        </row>
        <row r="212">
          <cell r="A212" t="str">
            <v>CAJA PLASTICA DE 105 x 105 x 50 mm CON TAPA Y CIERRE POR TORNILLO 1/4 DE VUELTA IP-55 IK-07, Y CUBIERTA OPACA.</v>
          </cell>
        </row>
        <row r="213">
          <cell r="A213" t="str">
            <v>CAJA PLASTICA DE  220 x 170 x 86 mm CON TAPA Y CIERRE POR TORNILLO 1/4 DE VUELTA IP-55 IK-07, Y CUBIERTA OPACA.</v>
          </cell>
        </row>
        <row r="214">
          <cell r="A214" t="str">
            <v>CAJA PLASTICA DE 108 x 140 x 86 mm CON TAPA Y CIERRE POR TORNILLO 1/4 DE VUELTA IP-55 IK-07, Y CUBIERTA OPACA.</v>
          </cell>
        </row>
        <row r="215">
          <cell r="A215" t="str">
            <v>CAJA PLASTICA DE 31 x 24 x 12,4 cm CON 24 ENTRADAS 18 de 32 mm y 6 de 40 mm DE DIAMETRO</v>
          </cell>
        </row>
        <row r="216">
          <cell r="A216" t="str">
            <v>CAJA PLEXO ATLANTIC EN ACERO LAMINADO EN FRIO IP-66, IK-10. DIMENSIONES 30 x 30 x 12 cm</v>
          </cell>
        </row>
        <row r="217">
          <cell r="A217" t="str">
            <v xml:space="preserve">CAJA TRIFÁSICA TIPO INTEMPERIE PARA ACOMETIDAS DE BT </v>
          </cell>
        </row>
        <row r="218">
          <cell r="A218" t="str">
            <v xml:space="preserve">CAPACETE ROSCADO EN ALUMINIO PARA TUBERIA IMC GALVANIZADA DE 1" </v>
          </cell>
        </row>
        <row r="219">
          <cell r="A219" t="str">
            <v xml:space="preserve">CAPACETE ROSCADO EN ALUMINIO PARA TUBERIA IMC GALVANIZADA DE 2" </v>
          </cell>
        </row>
        <row r="220">
          <cell r="A220" t="str">
            <v xml:space="preserve">CAPACETE ROSCADO EN ALUMINIO PARA TUBERIA IMC GALVANIZADA DE 3" </v>
          </cell>
        </row>
        <row r="221">
          <cell r="A221" t="str">
            <v>CAPUCHON PARA SELLAR PUNTA DE CABLE 2- 4/0 EN FRIO RED TRENZADA</v>
          </cell>
        </row>
        <row r="222">
          <cell r="A222" t="str">
            <v>CAPUCHON TERMOENCONGIBLE PARA SELLAR PUNTAS DE CABLES DE  6 A 3/0</v>
          </cell>
        </row>
        <row r="223">
          <cell r="A223" t="str">
            <v xml:space="preserve">CINTA DE ACERO INOXIDABLE 3/4" </v>
          </cell>
        </row>
        <row r="224">
          <cell r="A224" t="str">
            <v xml:space="preserve">CINTA DE ACERO INOXIDABLE 5/8" </v>
          </cell>
        </row>
        <row r="225">
          <cell r="A225" t="str">
            <v>CINTA EN ACERO INOXIDABLE 1/2"</v>
          </cell>
        </row>
        <row r="226">
          <cell r="A226" t="str">
            <v>CINTA EN ACERO INOXIDABLE 3/8"</v>
          </cell>
        </row>
        <row r="227">
          <cell r="A227" t="str">
            <v>CLAVIJA RECTA, 250V, 16A, 3P+T, IP 67, P17 Tempra</v>
          </cell>
        </row>
        <row r="228">
          <cell r="A228" t="str">
            <v>CLAVIJA RECTA, 250V, 32A, 3P+N+T, IP 67, P17 Tempra</v>
          </cell>
        </row>
        <row r="229">
          <cell r="A229" t="str">
            <v>CLAVIJA RECTA, 250V, 63A, 3P+N+T, IP 67, P17 Tempra</v>
          </cell>
        </row>
        <row r="230">
          <cell r="A230" t="str">
            <v>CONCRETO CICLOPEO 3,000 PSI</v>
          </cell>
        </row>
        <row r="231">
          <cell r="A231" t="str">
            <v>CONCRETO POBRE MEZCLADO 1:3:6</v>
          </cell>
        </row>
        <row r="232">
          <cell r="A232" t="str">
            <v>CONDULETA EN T 1/2" NPT</v>
          </cell>
        </row>
        <row r="233">
          <cell r="A233" t="str">
            <v>CONECTOR BIMETALICO CABLE VARILLA  REFERENCIA 226/ZV-CU</v>
          </cell>
        </row>
        <row r="234">
          <cell r="A234" t="str">
            <v>CONECTOR BIMETALICO TIPO PALA 2/0 AWG, 2HUECO 1/2"</v>
          </cell>
        </row>
        <row r="235">
          <cell r="A235" t="str">
            <v>CONECTOR DE COMPRESIÓN DE RANURAS PARALELAS, TIPO 1</v>
          </cell>
        </row>
        <row r="236">
          <cell r="A236" t="str">
            <v>CONECTOR DE TORNILLO CON CHAQUETA AISLANTE</v>
          </cell>
        </row>
        <row r="237">
          <cell r="A237" t="str">
            <v xml:space="preserve">CONECTOR TIPO CODO 200A - 1/0 AWG - 15 kV </v>
          </cell>
        </row>
        <row r="238">
          <cell r="A238" t="str">
            <v xml:space="preserve">CONECTOR TIPO CODO 200A - 2 AWG - 15 kV </v>
          </cell>
        </row>
        <row r="239">
          <cell r="A239" t="str">
            <v xml:space="preserve">CONECTOR TIPO CODO 200A - 4/0 AWG - 15 kV </v>
          </cell>
        </row>
        <row r="240">
          <cell r="A240" t="str">
            <v>CONECTOR TIPO COMPRESION 200A 1/0 AWG 15kV</v>
          </cell>
        </row>
        <row r="241">
          <cell r="A241" t="str">
            <v>CONECTOR TIPO COMPRESION 200A 2 AWG 15kV</v>
          </cell>
        </row>
        <row r="242">
          <cell r="A242" t="str">
            <v>CONECTOR TIPO COMPRESION 200A 2/0 AWG 15kV</v>
          </cell>
        </row>
        <row r="243">
          <cell r="A243" t="str">
            <v>CONECTOR TIPO COMPRESION 200A 4/0 AWG 15kV</v>
          </cell>
        </row>
        <row r="244">
          <cell r="A244" t="str">
            <v>CONECTOR TIPO COMPRESION 600A 2 AWG 15kV</v>
          </cell>
        </row>
        <row r="245">
          <cell r="A245" t="str">
            <v>CONECTOR TIPO COMPRESION 600A 2/0 AWG 15kV</v>
          </cell>
        </row>
        <row r="246">
          <cell r="A246" t="str">
            <v>CONECTOR TIPO COMPRESION 600A 4/0 AWG 15kV</v>
          </cell>
        </row>
        <row r="247">
          <cell r="A247" t="str">
            <v>CONECTOR TIPO CUÑA</v>
          </cell>
        </row>
        <row r="248">
          <cell r="A248" t="str">
            <v>CONECTOR TIPO TORNILLO PARA  VARILLA DE PUESTA A TIERRA EN COBRE</v>
          </cell>
        </row>
        <row r="249">
          <cell r="A249" t="str">
            <v xml:space="preserve">CONECTOR TRANSVERSAL DE PUESTA A TIERRA TIPO TGC PARA VARILLA COOPER WELD (Varilla 5/8 - Cable # 2 o # 4) </v>
          </cell>
        </row>
        <row r="250">
          <cell r="A250" t="str">
            <v xml:space="preserve">CONECTOR VARILLA-CABLE  ACERO GALVANIZADO REF 280 OBO </v>
          </cell>
        </row>
        <row r="251">
          <cell r="A251" t="str">
            <v>CONECTORES CABLE REFERENCIA OBO</v>
          </cell>
        </row>
        <row r="252">
          <cell r="A252" t="str">
            <v>CONFIGURACIÓN EQUIPO RECONECTADOR -INGENIERO ESPECIALISTA</v>
          </cell>
        </row>
        <row r="253">
          <cell r="A253" t="str">
            <v>CONTROL DE VELOCIDAD DE TRES VENTILADORES</v>
          </cell>
        </row>
        <row r="254">
          <cell r="A254" t="str">
            <v>CORTACIRCUITOS 15 kV-100 A</v>
          </cell>
        </row>
        <row r="255">
          <cell r="A255" t="str">
            <v>CRUCETA METÁLICA DE ÁNGULO GALVANIZADO DE  2 ½" x 3/16" x 2,0 m</v>
          </cell>
        </row>
        <row r="256">
          <cell r="A256" t="str">
            <v>CRUCETA METÁLICA DE ÁNGULO GALVANIZADO DE  2 ½" x 3/16" x 2,5 m</v>
          </cell>
        </row>
        <row r="257">
          <cell r="A257" t="str">
            <v>CRUCETA METALICA DE ANGULO GALVANIZADO DE 2 ½" x 1/4 "x  1,5 m</v>
          </cell>
        </row>
        <row r="258">
          <cell r="A258" t="str">
            <v>CRUCETA METALICA DE ANGULO GALVANIZADO DE 2 ½" x 1/4 "x  2,0 m</v>
          </cell>
        </row>
        <row r="259">
          <cell r="A259" t="str">
            <v>CRUCETA METALICA DE ANGULO GALVANIZADO DE 2 ½" x 1/4 "x  2,5 m</v>
          </cell>
        </row>
        <row r="260">
          <cell r="A260" t="str">
            <v>CRUCETA METALICA DE ANGULO GALVANIZADO DE 2 ½" x 3/16" x 1,5 m</v>
          </cell>
        </row>
        <row r="261">
          <cell r="A261" t="str">
            <v>CRUCETA METALICA DE ANGULO GALVANIZADO DE 3" x 1/4" x 2 m</v>
          </cell>
        </row>
        <row r="262">
          <cell r="A262" t="str">
            <v>CRUCETA METALICA DE ANGULO GALVANIZADO DE 3" x 1/4" x 2,4 m</v>
          </cell>
        </row>
        <row r="263">
          <cell r="A263" t="str">
            <v>CRUCETA METALICA DE ANGULO GALVANIZADO DE 3" x 1/4" x 3 m</v>
          </cell>
        </row>
        <row r="264">
          <cell r="A264" t="str">
            <v>CRUCETA METALICA DE ANGULO GALVANIZADO DE 3" x 1/4" x 6 m</v>
          </cell>
        </row>
        <row r="265">
          <cell r="A265" t="str">
            <v>CUADRILLA ELECTRICA EXTERNA</v>
          </cell>
        </row>
        <row r="266">
          <cell r="A266" t="str">
            <v>CUADRILLA ELECTRICA INTERNA</v>
          </cell>
        </row>
        <row r="267">
          <cell r="A267" t="str">
            <v>CURVA EMT  1 1/2" x 90°</v>
          </cell>
        </row>
        <row r="268">
          <cell r="A268" t="str">
            <v>CURVA EMT  1 1/4" x 90°</v>
          </cell>
        </row>
        <row r="269">
          <cell r="A269" t="str">
            <v>CURVA EMT  1/2” x 90º</v>
          </cell>
        </row>
        <row r="270">
          <cell r="A270" t="str">
            <v>CURVA EMT  1” x 90°</v>
          </cell>
        </row>
        <row r="271">
          <cell r="A271" t="str">
            <v>CURVA EMT  2" x 90°</v>
          </cell>
        </row>
        <row r="272">
          <cell r="A272" t="str">
            <v>CURVA EMT  3/4” x 90º</v>
          </cell>
        </row>
        <row r="273">
          <cell r="A273" t="str">
            <v>CURVA EMT  3” x 90°</v>
          </cell>
        </row>
        <row r="274">
          <cell r="A274" t="str">
            <v>CURVA IMC GALVANIZADO  1 1/2" x 90°</v>
          </cell>
        </row>
        <row r="275">
          <cell r="A275" t="str">
            <v>CURVA IMC GALVANIZADO  1 1/4" x 90°</v>
          </cell>
        </row>
        <row r="276">
          <cell r="A276" t="str">
            <v>CURVA IMC GALVANIZADO  1/2” x 90º</v>
          </cell>
        </row>
        <row r="277">
          <cell r="A277" t="str">
            <v>CURVA IMC GALVANIZADO  1” x 90°</v>
          </cell>
        </row>
        <row r="278">
          <cell r="A278" t="str">
            <v>CURVA IMC GALVANIZADO  2" x 90°</v>
          </cell>
        </row>
        <row r="279">
          <cell r="A279" t="str">
            <v>CURVA IMC GALVANIZADO  3/4” x 90º</v>
          </cell>
        </row>
        <row r="280">
          <cell r="A280" t="str">
            <v>CURVA IMC GALVANIZADO  3” x 90°</v>
          </cell>
        </row>
        <row r="281">
          <cell r="A281" t="str">
            <v>CURVA PVC  1 1/2" x 90°</v>
          </cell>
        </row>
        <row r="282">
          <cell r="A282" t="str">
            <v>CURVA PVC  1 1/4" x 90°</v>
          </cell>
        </row>
        <row r="283">
          <cell r="A283" t="str">
            <v>CURVA PVC  1/2” x 90º</v>
          </cell>
        </row>
        <row r="284">
          <cell r="A284" t="str">
            <v>CURVA PVC  1” x 90°</v>
          </cell>
        </row>
        <row r="285">
          <cell r="A285" t="str">
            <v>CURVA PVC  2" x 90°</v>
          </cell>
        </row>
        <row r="286">
          <cell r="A286" t="str">
            <v>CURVA PVC  3/4” x 90º</v>
          </cell>
        </row>
        <row r="287">
          <cell r="A287" t="str">
            <v>CURVA PVC  3” x 90°</v>
          </cell>
        </row>
        <row r="288">
          <cell r="A288" t="str">
            <v>CURVA PVC  4” x 90°</v>
          </cell>
        </row>
        <row r="289">
          <cell r="A289" t="str">
            <v>DESCARGADOR DE SOBRETENSION DE LINEA 10kV- 10kA- POLIMERICO, OXIDO DE ZINC</v>
          </cell>
        </row>
        <row r="290">
          <cell r="A290" t="str">
            <v>DESCARGADOR DE SOBRETENSION DE LINEA 12kV- 10kA- POLIMERICO, OXIDO DE ZINC</v>
          </cell>
        </row>
        <row r="291">
          <cell r="A291" t="str">
            <v>DIAGONAL CON DOBLEZ 1-1/2 x 3/16 CRUCETA MADERA 64 cm</v>
          </cell>
        </row>
        <row r="292">
          <cell r="A292" t="str">
            <v>DIAGONAL RECTA DE ÁNGULO DE HIERRO GALVANIZADO DE 38X38X5 mm (1 ½" X 1 ½" X 3/16")  110 cm</v>
          </cell>
        </row>
        <row r="293">
          <cell r="A293" t="str">
            <v>DIAGONAL RECTA DE ÁNGULO DE HIERRO GALVANIZADO DE 38X38X5 mm (1 ½" X 1 ½" X 3/16") 68 cm</v>
          </cell>
        </row>
        <row r="294">
          <cell r="A294" t="str">
            <v>DINTELES EN CONCRETO h=0.15m x 0.2m (2500 PSI Mezcla 1:3:3)</v>
          </cell>
        </row>
        <row r="295">
          <cell r="A295" t="str">
            <v>DISPOSITIVO DE FOTOCONTROL (FOTOCELDA)</v>
          </cell>
        </row>
        <row r="296">
          <cell r="A296" t="str">
            <v>ELECTRODO DE PUESTA A TIERRA DE ACERO GALVANIZADO Ø20 mm, referencia BATTERMANN 219/20</v>
          </cell>
        </row>
        <row r="297">
          <cell r="A297" t="str">
            <v>EMPALME TIPO RECTO O EN DERIVACIÓN</v>
          </cell>
        </row>
        <row r="298">
          <cell r="A298" t="str">
            <v>ESLABON DE ANGULAR</v>
          </cell>
        </row>
        <row r="299">
          <cell r="A299" t="str">
            <v>ESPARRAGO 5/8" x 10"</v>
          </cell>
        </row>
        <row r="300">
          <cell r="A300" t="str">
            <v>ESPARRAGO 5/8" x 12"</v>
          </cell>
        </row>
        <row r="301">
          <cell r="A301" t="str">
            <v>ESPARRAGO 5/8" x 14"</v>
          </cell>
        </row>
        <row r="302">
          <cell r="A302" t="str">
            <v>ESPARRAGO 5/8" x 16"</v>
          </cell>
        </row>
        <row r="303">
          <cell r="A303" t="str">
            <v>ESPARRAGO 5/8" x 18"</v>
          </cell>
        </row>
        <row r="304">
          <cell r="A304" t="str">
            <v>ESPARRAGO 5/8" x 20"</v>
          </cell>
        </row>
        <row r="305">
          <cell r="A305" t="str">
            <v>ESPARRAGO 5/8" x 22"</v>
          </cell>
        </row>
        <row r="306">
          <cell r="A306" t="str">
            <v>ESPARRAGO 5/8" x 24"</v>
          </cell>
        </row>
        <row r="307">
          <cell r="A307" t="str">
            <v>ESPARRAGO 5/8" x 4"</v>
          </cell>
        </row>
        <row r="308">
          <cell r="A308" t="str">
            <v>ESPARRAGO 5/8" x 6"</v>
          </cell>
        </row>
        <row r="309">
          <cell r="A309" t="str">
            <v>ESPARRAGO 5/8" x 8"</v>
          </cell>
        </row>
        <row r="310">
          <cell r="A310" t="str">
            <v>ESPIGO CRUCETA MADERA DE 5/8" x 10" PARA 13,2 kV</v>
          </cell>
        </row>
        <row r="311">
          <cell r="A311" t="str">
            <v>ESPIGO CRUCETA METALICA DE 5/8" x 8" PARA 13,2 kV</v>
          </cell>
        </row>
        <row r="312">
          <cell r="A312" t="str">
            <v>ESPIGO DE ACERO GALVANIZADO PARA CRUCETA METÁLICA</v>
          </cell>
        </row>
        <row r="313">
          <cell r="A313" t="str">
            <v>ESPIGO PARA AISLADOR DE 38 mm</v>
          </cell>
        </row>
        <row r="314">
          <cell r="A314" t="str">
            <v>ESTRIBO 2 AWG CON CONECTOR CUÑA 4/0 AWG</v>
          </cell>
        </row>
        <row r="315">
          <cell r="A315" t="str">
            <v>ESTRIBO DE MEDIA TENSION PARA CABLE COBRE 1/0 + conectores bimetálicos</v>
          </cell>
        </row>
        <row r="316">
          <cell r="A316" t="str">
            <v>EXCAVACION MANUAL</v>
          </cell>
        </row>
        <row r="317">
          <cell r="A317" t="str">
            <v>EXTRACTOR AXIAL DE AIRE TIPO INDUSTRIAL DE 8" CON REJILLAS Y PINTURA ELECTROESTATICA</v>
          </cell>
        </row>
        <row r="318">
          <cell r="A318" t="str">
            <v>FILTRO DE DRENAJE 0.5 x 0.5 CON RELLENO EN GRAVILLA DE RIO 3/4" - 1" (SIN EXCAVACIÓN)</v>
          </cell>
        </row>
        <row r="319">
          <cell r="A319" t="str">
            <v>GRAPA DE OPERAR EN CALIENTE</v>
          </cell>
        </row>
        <row r="320">
          <cell r="A320" t="str">
            <v>GRAPA DE RETENCION PARA CABLE DE GUARDA</v>
          </cell>
        </row>
        <row r="321">
          <cell r="A321" t="str">
            <v>GRAPA DE SUSPENSIÓN PARA CABLE TRENZADO DE B.T.</v>
          </cell>
        </row>
        <row r="322">
          <cell r="A322" t="str">
            <v>GRAPA PARA SUJETAR ACOMETIDA</v>
          </cell>
        </row>
        <row r="323">
          <cell r="A323" t="str">
            <v xml:space="preserve">GRAPA PRENSADORA DE 1 1/2 x 1/4 x 6  3 TORNILLOS </v>
          </cell>
        </row>
        <row r="324">
          <cell r="A324" t="str">
            <v xml:space="preserve">GRAPA PRENSADORA DE 1-1/2 x 3/8 x 6 3 TORNILLOS </v>
          </cell>
        </row>
        <row r="325">
          <cell r="A325" t="str">
            <v xml:space="preserve">GRAPA PRENSADORA DE TRES TORNILLOS </v>
          </cell>
        </row>
        <row r="326">
          <cell r="A326" t="str">
            <v>GRAPA RETENCION ACERO TIPO PISTOLA 4 - 336</v>
          </cell>
        </row>
        <row r="327">
          <cell r="A327" t="str">
            <v>GRAPA RETENCION ALUMINIO TIPO PISTOLA 6 - 2/0</v>
          </cell>
        </row>
        <row r="328">
          <cell r="A328" t="str">
            <v>GRAPA TERMINAL TIPO RECTO 3/0 – 266,8</v>
          </cell>
        </row>
        <row r="329">
          <cell r="A329" t="str">
            <v>GRAPA T-GRILLETE P TEMPLETE 1/2 LA-551</v>
          </cell>
        </row>
        <row r="330">
          <cell r="A330" t="str">
            <v>GRUA</v>
          </cell>
        </row>
        <row r="331">
          <cell r="A331" t="str">
            <v>GUARDACABO PARA RETENDIDAS</v>
          </cell>
        </row>
        <row r="332">
          <cell r="A332" t="str">
            <v>HEBILLA DE ACERO INOXIDABLE 1/2"</v>
          </cell>
        </row>
        <row r="333">
          <cell r="A333" t="str">
            <v>HEBILLA DE ACERO INOXIDABLE 3/4"</v>
          </cell>
        </row>
        <row r="334">
          <cell r="A334" t="str">
            <v>HEBILLA DE ACERO INOXIDABLE 3/8"</v>
          </cell>
        </row>
        <row r="335">
          <cell r="A335" t="str">
            <v>HEBILLA DE ACERO INOXIDABLE 5/8"</v>
          </cell>
        </row>
        <row r="336">
          <cell r="A336" t="str">
            <v>HERRAJE PARA TEMPLETE CUERDA DE GUITARRA</v>
          </cell>
        </row>
        <row r="337">
          <cell r="A337" t="str">
            <v xml:space="preserve">HERRAMIENTA MENOR </v>
          </cell>
        </row>
        <row r="338">
          <cell r="A338" t="str">
            <v>HILO FUSIBLE TIPO H 15 LUHFSER</v>
          </cell>
        </row>
        <row r="339">
          <cell r="A339" t="str">
            <v>HILO FUSIBLE TIPO K 15 LUHFSER</v>
          </cell>
        </row>
        <row r="340">
          <cell r="A340" t="str">
            <v>HILO FUSIBLE TIPO SR 15 LUHFSER</v>
          </cell>
        </row>
        <row r="341">
          <cell r="A341" t="str">
            <v>HILO FUSIBLE TIPO T 15 LUHFSER</v>
          </cell>
        </row>
        <row r="342">
          <cell r="A342" t="str">
            <v>HILO FUSIBLE TIPO VS 15 LUHFSER</v>
          </cell>
        </row>
        <row r="343">
          <cell r="A343" t="str">
            <v>INDICADOR DE FALLA AÉREO MONOFÁSICO 400A</v>
          </cell>
        </row>
        <row r="344">
          <cell r="A344" t="str">
            <v>INTERRUPTOR DOBLE</v>
          </cell>
        </row>
        <row r="345">
          <cell r="A345" t="str">
            <v xml:space="preserve">INTERRUPTOR DOBLE CONMUTABLE </v>
          </cell>
        </row>
        <row r="346">
          <cell r="A346" t="str">
            <v>INTERRUPTOR ENCHUFABLE DE 1  x  20A - 240V - 10kA</v>
          </cell>
        </row>
        <row r="347">
          <cell r="A347" t="str">
            <v>INTERRUPTOR ENCHUFABLE DE 1 x 100A - 240V - 10kA</v>
          </cell>
        </row>
        <row r="348">
          <cell r="A348" t="str">
            <v>INTERRUPTOR ENCHUFABLE DE 1 x 15A - 240V - 10kA</v>
          </cell>
        </row>
        <row r="349">
          <cell r="A349" t="str">
            <v>INTERRUPTOR ENCHUFABLE DE 1 x 30A - 240V - 10kA</v>
          </cell>
        </row>
        <row r="350">
          <cell r="A350" t="str">
            <v>INTERRUPTOR ENCHUFABLE DE 1 x 40A - 240V - 10kA</v>
          </cell>
        </row>
        <row r="351">
          <cell r="A351" t="str">
            <v>INTERRUPTOR ENCHUFABLE DE 1 x 50A - 240V - 10kA</v>
          </cell>
        </row>
        <row r="352">
          <cell r="A352" t="str">
            <v>INTERRUPTOR ENCHUFABLE DE 1 x 60A - 240V - 10kA</v>
          </cell>
        </row>
        <row r="353">
          <cell r="A353" t="str">
            <v>INTERRUPTOR ENCHUFABLE DE 1 x 70A - 240V - 10kA</v>
          </cell>
        </row>
        <row r="354">
          <cell r="A354" t="str">
            <v>INTERRUPTOR ENCHUFABLE DE 2 x 100A - 240V - 10kA</v>
          </cell>
        </row>
        <row r="355">
          <cell r="A355" t="str">
            <v>INTERRUPTOR ENCHUFABLE DE 2 x 20A - 240V - 10kA</v>
          </cell>
        </row>
        <row r="356">
          <cell r="A356" t="str">
            <v>INTERRUPTOR ENCHUFABLE DE 2 x 30A - 240V - 10kA</v>
          </cell>
        </row>
        <row r="357">
          <cell r="A357" t="str">
            <v>INTERRUPTOR ENCHUFABLE DE 2 x 40A - 240V - 10kA</v>
          </cell>
        </row>
        <row r="358">
          <cell r="A358" t="str">
            <v>INTERRUPTOR ENCHUFABLE DE 2 x 50A - 240V - 10kA</v>
          </cell>
        </row>
        <row r="359">
          <cell r="A359" t="str">
            <v>INTERRUPTOR ENCHUFABLE DE 2 x 60A - 240V - 10kA</v>
          </cell>
        </row>
        <row r="360">
          <cell r="A360" t="str">
            <v>INTERRUPTOR ENCHUFABLE DE 2 x 70A - 240V - 10kA</v>
          </cell>
        </row>
        <row r="361">
          <cell r="A361" t="str">
            <v>INTERRUPTOR ENCHUFABLE DE 2 x 80A - 240V - 10kA</v>
          </cell>
        </row>
        <row r="362">
          <cell r="A362" t="str">
            <v>INTERRUPTOR ENCHUFABLE DE 3 x 100A - 240V - 10kA</v>
          </cell>
        </row>
        <row r="363">
          <cell r="A363" t="str">
            <v>INTERRUPTOR ENCHUFABLE DE 3 x 20A - 240V - 10kA</v>
          </cell>
        </row>
        <row r="364">
          <cell r="A364" t="str">
            <v>INTERRUPTOR ENCHUFABLE DE 3 x 30A - 240V - 10kA</v>
          </cell>
        </row>
        <row r="365">
          <cell r="A365" t="str">
            <v>INTERRUPTOR ENCHUFABLE DE 3 x 40A - 240V - 10kA</v>
          </cell>
        </row>
        <row r="366">
          <cell r="A366" t="str">
            <v>INTERRUPTOR ENCHUFABLE DE 3 x 50A - 240V - 10kA</v>
          </cell>
        </row>
        <row r="367">
          <cell r="A367" t="str">
            <v>INTERRUPTOR ENCHUFABLE DE 3 x 60A - 240V - 10kA</v>
          </cell>
        </row>
        <row r="368">
          <cell r="A368" t="str">
            <v>INTERRUPTOR ENCHUFABLE DE 3 x 70A - 240V - 10kA</v>
          </cell>
        </row>
        <row r="369">
          <cell r="A369" t="str">
            <v>INTERRUPTOR INDUSTRIAL EN CAJA 3  x  100A, 50kA. CALIDAD LEGRAND, MERLIN GERIN, MITSUBISHI, SIEMENS, SQUAR D, o superior de marca reconocida y homologada por el CIDET</v>
          </cell>
        </row>
        <row r="370">
          <cell r="A370" t="str">
            <v>INTERRUPTOR INDUSTRIAL EN CAJA 3  x  125A, 50kA. CALIDAD LEGRAND, MERLIN GERIN, MITSUBISHI, SIEMENS, SQUAR D, o superior de marca reconocida y homologada por el CIDET</v>
          </cell>
        </row>
        <row r="371">
          <cell r="A371" t="str">
            <v>INTERRUPTOR INDUSTRIAL EN CAJA 3  x  150A, 50kA. CALIDAD LEGRAND, MERLIN GERIN, MITSUBISHI, SIEMENS, SQUAR D, o superior de marca reconocida y homologada por el CIDET</v>
          </cell>
        </row>
        <row r="372">
          <cell r="A372" t="str">
            <v>INTERRUPTOR INDUSTRIAL EN CAJA 3  x  175A, 50kA. CALIDAD LEGRAND, MERLIN GERIN, MITSUBISHI, SIEMENS, SQUAR D, o superior de marca reconocida y homologada por el CIDET</v>
          </cell>
        </row>
        <row r="373">
          <cell r="A373" t="str">
            <v>INTERRUPTOR INDUSTRIAL EN CAJA 3  x  30A, 25kA. CALIDAD LEGRAND, MERLIN GERIN, MITSUBISHI, SIEMENS, SQUAR D, o superior de marca reconocida y homologada por el CIDET</v>
          </cell>
        </row>
        <row r="374">
          <cell r="A374" t="str">
            <v>INTERRUPTOR INDUSTRIAL EN CAJA 3  x  40A, 25kA. CALIDAD LEGRAND, MERLIN GERIN, MITSUBISHI, SIEMENS, SQUAR D, o superior de marca reconocida y homologada por el CIDET</v>
          </cell>
        </row>
        <row r="375">
          <cell r="A375" t="str">
            <v>INTERRUPTOR INDUSTRIAL EN CAJA 3  x  50A, 25kA. CALIDAD LEGRAND, MERLIN GERIN, MITSUBISHI, SIEMENS, SQUAR D, o superior de marca reconocida y homologada por el CIDET</v>
          </cell>
        </row>
        <row r="376">
          <cell r="A376" t="str">
            <v>INTERRUPTOR INDUSTRIAL EN CAJA 3  x  60A, 25kA. CALIDAD LEGRAND, MERLIN GERIN, MITSUBISHI, SIEMENS, SQUAR D, o superior de marca reconocida y homologada por el CIDET</v>
          </cell>
        </row>
        <row r="377">
          <cell r="A377" t="str">
            <v>INTERRUPTOR INDUSTRIAL EN CAJA 3  x  75A, 50kA. CALIDAD LEGRAND, MERLIN GERIN, MITSUBISHI, SIEMENS, SQUAR D, o superior de marca reconocida y homologada por el CIDET</v>
          </cell>
        </row>
        <row r="378">
          <cell r="A378" t="str">
            <v>INTERRUPTOR INDUSTRIAL EN CAJA 3 x 1000A, 100kA. CALIDAD LEGRAND, MERLIN GERIN, MITSUBISHI, SIEMENS, SQUAR D, o superior de marca reconocida y homologada por el CIDET</v>
          </cell>
        </row>
        <row r="379">
          <cell r="A379" t="str">
            <v>INTERRUPTOR INDUSTRIAL EN CAJA 3 x 1200A, 100kA. CALIDAD LEGRAND, MERLIN GERIN, MITSUBISHI, SIEMENS, SQUAR D, o superior de marca reconocida y homologada por el CIDET</v>
          </cell>
        </row>
        <row r="380">
          <cell r="A380" t="str">
            <v>INTERRUPTOR INDUSTRIAL EN CAJA 3 x 15A, 25kA. CALIDAD LEGRAND, MERLIN GERIN, MITSUBISHI, SIEMENS, SQUAR D, o superior de marca reconocida y homologada por el CIDET</v>
          </cell>
        </row>
        <row r="381">
          <cell r="A381" t="str">
            <v>INTERRUPTOR INDUSTRIAL EN CAJA 3 x 200A, 50kA. CALIDAD LEGRAND, MERLIN GERIN, MITSUBISHI, SIEMENS, SQUAR D, o superior de marca reconocida y homologada por el CIDET</v>
          </cell>
        </row>
        <row r="382">
          <cell r="A382" t="str">
            <v>INTERRUPTOR INDUSTRIAL EN CAJA 3 x 20A, 25kA. CALIDAD LEGRAND, MERLIN GERIN, MITSUBISHI, SIEMENS, SQUAR D, o superior de marca reconocida y homologada por el CIDET</v>
          </cell>
        </row>
        <row r="383">
          <cell r="A383" t="str">
            <v>INTERRUPTOR INDUSTRIAL EN CAJA 3 x 225A, 50kA. CALIDAD LEGRAND, MERLIN GERIN, MITSUBISHI, SIEMENS, SQUAR D, o superior de marca reconocida y homologada por el CIDET</v>
          </cell>
        </row>
        <row r="384">
          <cell r="A384" t="str">
            <v>INTERRUPTOR INDUSTRIAL EN CAJA 3 x 250A, 50kA. CALIDAD LEGRAND, MERLIN GERIN, MITSUBISHI, SIEMENS, SQUAR D, o superior de marca reconocida y homologada por el CIDET</v>
          </cell>
        </row>
        <row r="385">
          <cell r="A385" t="str">
            <v>INTERRUPTOR INDUSTRIAL EN CAJA 3 x 300A, 50kA. CALIDAD LEGRAND, MERLIN GERIN, MITSUBISHI, SIEMENS, SQUAR D, o superior de marca reconocida y homologada por el CIDET</v>
          </cell>
        </row>
        <row r="386">
          <cell r="A386" t="str">
            <v>INTERRUPTOR INDUSTRIAL EN CAJA 3 x 350A, 50kA. CALIDAD LEGRAND, MERLIN GERIN, MITSUBISHI, SIEMENS, SQUAR D, o superior de marca reconocida y homologada por el CIDET</v>
          </cell>
        </row>
        <row r="387">
          <cell r="A387" t="str">
            <v>INTERRUPTOR INDUSTRIAL EN CAJA 3 x 400A, 50kA. CALIDAD LEGRAND, MERLIN GERIN, MITSUBISHI, SIEMENS, SQUAR D, o superior de marca reconocida y homologada por el CIDET</v>
          </cell>
        </row>
        <row r="388">
          <cell r="A388" t="str">
            <v>INTERRUPTOR INDUSTRIAL EN CAJA 3 x 500A, 100kA. CALIDAD LEGRAND, MERLIN GERIN, MITSUBISHI, SIEMENS, SQUAR D, o superior de marca reconocida y homologada por el CIDET</v>
          </cell>
        </row>
        <row r="389">
          <cell r="A389" t="str">
            <v>INTERRUPTOR INDUSTRIAL EN CAJA 3 x 600A, 100kA. CALIDAD LEGRAND, MERLIN GERIN, MITSUBISHI, SIEMENS, SQUAR D, o superior de marca reconocida y homologada por el CIDET</v>
          </cell>
        </row>
        <row r="390">
          <cell r="A390" t="str">
            <v>INTERRUPTOR INDUSTRIAL EN CAJA 3 x 700A, 100kA. CALIDAD LEGRAND, MERLIN GERIN, MITSUBISHI, SIEMENS, SQUAR D, o superior de marca reconocida y homologada por el CIDET</v>
          </cell>
        </row>
        <row r="391">
          <cell r="A391" t="str">
            <v>INTERRUPTOR INDUSTRIAL EN CAJA 3 x 800A, 100kA. CALIDAD LEGRAND, MERLIN GERIN, MITSUBISHI, SIEMENS, SQUAR D, o superior de marca reconocida y homologada por el CIDET</v>
          </cell>
        </row>
        <row r="392">
          <cell r="A392" t="str">
            <v>INTERRUPTOR INDUSTRIAL REGULABLE  160-250A  3 x 250A, 25kA. CALIDAD LEGRAND, MERLIN GERIN, MITSUBISHI, SIEMENS, SQUAR D, o superior de marca reconocida y homologada por el CIDET</v>
          </cell>
        </row>
        <row r="393">
          <cell r="A393" t="str">
            <v>INTERRUPTOR INDUSTRIAL REGULABLE  320-400A  3 x 400A, 25kA. CALIDAD LEGRAND, MERLIN GERIN, MITSUBISHI, SIEMENS, SQUAR D, o superior de marca reconocida y homologada por el CIDET</v>
          </cell>
        </row>
        <row r="394">
          <cell r="A394" t="str">
            <v>INTERRUPTOR INDUSTRIAL REGULABLE  44-63A  3 x 63A, 40kA. CALIDAD LEGRAND, MERLIN GERIN, MITSUBISHI, SIEMENS, SQUAR D, o superior de marca reconocida y homologada por el CIDET</v>
          </cell>
        </row>
        <row r="395">
          <cell r="A395" t="str">
            <v>INTERRUPTOR INDUSTRIAL REGULABLE  500-630A  3 x 630A, 170kA. CALIDAD LEGRAND, MERLIN GERIN, MITSUBISHI, SIEMENS, SQUAR D, o superior de marca reconocida y homologada por el CIDET</v>
          </cell>
        </row>
        <row r="396">
          <cell r="A396" t="str">
            <v>INTERRUPTOR INDUSTRIAL REGULABLE  70-100A 3 x 100A, 25kA. CALIDAD LEGRAND, MERLIN GERIN, MITSUBISHI, SIEMENS, SQUAR D, o superior de marca reconocida y homologada por el CIDET</v>
          </cell>
        </row>
        <row r="397">
          <cell r="A397" t="str">
            <v>INTERRUPTOR INDUSTRIAL REGULABLE  87-125A 3 x 125A, 25kA. CALIDAD LEGRAND, MERLIN GERIN, MITSUBISHI, SIEMENS, SQUAR D, o superior de marca reconocida y homologada por el CIDET</v>
          </cell>
        </row>
        <row r="398">
          <cell r="A398" t="str">
            <v>INTERRUPTOR INDUSTRIAL REGULABLE  28-40A 3 x 28A, 25kA. CALIDAD LEGRAND, MERLIN GERIN, MITSUBISHI, SIEMENS, SQUAR D, o superior de marca reconocida y homologada por el CIDET</v>
          </cell>
        </row>
        <row r="399">
          <cell r="A399" t="str">
            <v>INTERRUPTOR INDUSTRIAL REGULABLE 102-160 A  3 x 160A, 50kA. CALIDAD LEGRAND, MERLIN GERIN, MITSUBISHI, SIEMENS, SQUAR D, o superior de marca reconocida y homologada por el CIDET</v>
          </cell>
        </row>
        <row r="400">
          <cell r="A400" t="str">
            <v>INTERRUPTOR PARA RIEL DE 1 x 10A</v>
          </cell>
        </row>
        <row r="401">
          <cell r="A401" t="str">
            <v>INTERRUPTOR PARA RIEL DE 1 x 16A</v>
          </cell>
        </row>
        <row r="402">
          <cell r="A402" t="str">
            <v>INTERRUPTOR PARA RIEL DE 1 x 25A</v>
          </cell>
        </row>
        <row r="403">
          <cell r="A403" t="str">
            <v>INTERRUPTOR PARA RIEL DE 1 x 32A</v>
          </cell>
        </row>
        <row r="404">
          <cell r="A404" t="str">
            <v>INTERRUPTOR PARA RIEL DE 1 x 40A</v>
          </cell>
        </row>
        <row r="405">
          <cell r="A405" t="str">
            <v>INTERRUPTOR PARA RIEL DE 1 x 50A</v>
          </cell>
        </row>
        <row r="406">
          <cell r="A406" t="str">
            <v>INTERRUPTOR PARA RIEL DE 1 x 63A</v>
          </cell>
        </row>
        <row r="407">
          <cell r="A407" t="str">
            <v>INTERRUPTOR PARA RIEL DE 1 x 6A</v>
          </cell>
        </row>
        <row r="408">
          <cell r="A408" t="str">
            <v>INTERRUPTOR PARA RIEL DE 2 x 10A</v>
          </cell>
        </row>
        <row r="409">
          <cell r="A409" t="str">
            <v>INTERRUPTOR PARA RIEL DE 2 x 16A</v>
          </cell>
        </row>
        <row r="410">
          <cell r="A410" t="str">
            <v>INTERRUPTOR PARA RIEL DE 2 x 20A</v>
          </cell>
        </row>
        <row r="411">
          <cell r="A411" t="str">
            <v>INTERRUPTOR PARA RIEL DE 2 x 25A</v>
          </cell>
        </row>
        <row r="412">
          <cell r="A412" t="str">
            <v>INTERRUPTOR PARA RIEL DE 2 x 32A</v>
          </cell>
        </row>
        <row r="413">
          <cell r="A413" t="str">
            <v>INTERRUPTOR PARA RIEL DE 2 x 40A</v>
          </cell>
        </row>
        <row r="414">
          <cell r="A414" t="str">
            <v>INTERRUPTOR PARA RIEL DE 2 x 50A</v>
          </cell>
        </row>
        <row r="415">
          <cell r="A415" t="str">
            <v>INTERRUPTOR PARA RIEL DE 2 x 63A</v>
          </cell>
        </row>
        <row r="416">
          <cell r="A416" t="str">
            <v>INTERRUPTOR PARA RIEL DE 3 x 16A</v>
          </cell>
        </row>
        <row r="417">
          <cell r="A417" t="str">
            <v>INTERRUPTOR PARA RIEL DE 3 x 40A</v>
          </cell>
        </row>
        <row r="418">
          <cell r="A418" t="str">
            <v>INTERRUPTOR PARA RIEL DE 3 x 50A</v>
          </cell>
        </row>
        <row r="419">
          <cell r="A419" t="str">
            <v>INTERRUPTOR PARA RIEL DE 3 x 63A</v>
          </cell>
        </row>
        <row r="420">
          <cell r="A420" t="str">
            <v xml:space="preserve">INTERRUPTOR SENCILLO </v>
          </cell>
        </row>
        <row r="421">
          <cell r="A421" t="str">
            <v xml:space="preserve">INTERRUPTOR SENCILLO CONMUTABLE </v>
          </cell>
        </row>
        <row r="422">
          <cell r="A422" t="str">
            <v xml:space="preserve">INTERRUPTOR TRIPLE </v>
          </cell>
        </row>
        <row r="423">
          <cell r="A423" t="str">
            <v xml:space="preserve">INTERRUPTOR TRIPLE CONMUTABLE </v>
          </cell>
        </row>
        <row r="424">
          <cell r="A424" t="str">
            <v>LAMPARA HERMETICA FLUORESCENTE CON DIFUSOR EN POLICARBONATO, BALASTO ELECTRONICO 2X32W, TUBO DE 2X32 W, T8 COLOR 4000K ,IP65</v>
          </cell>
        </row>
        <row r="425">
          <cell r="A425" t="str">
            <v>LAMPARA HERMETICA FLUORESCENTE DE SOBREPONER CON DIFUSOR EN POLICARBONATO, BALASTO ELECTRONICO 2X32W, TUBO DE 2X32 W, T8 COLOR 4000K ,IP65</v>
          </cell>
        </row>
        <row r="426">
          <cell r="A426" t="str">
            <v>LUMINARIA HORIZONTAL CERRADA DE 70 W -BOMBILLA LED - 220 VOLTIOS - GARANTIA MINIMA 2 AÑOS - INCLUYE FOTOCELDA . BRAZO  - HERRAJES Y ACCESORIOS VARIOS.</v>
          </cell>
        </row>
        <row r="427">
          <cell r="A427" t="str">
            <v xml:space="preserve">LUMINARIA HORIZONTAL CERRADA DE 70 W REFERENCIA  LO-CLSL 05  7000lm </v>
          </cell>
        </row>
        <row r="428">
          <cell r="A428" t="str">
            <v>MACHON EN CONCRETO 2500 PSI DE 0.15m X 0.15m X 1.25</v>
          </cell>
        </row>
        <row r="429">
          <cell r="A429" t="str">
            <v>MANO DE OBRA BB</v>
          </cell>
        </row>
        <row r="430">
          <cell r="A430" t="str">
            <v>MARCO SENCILLO EN ANGULO EN ACERO A-37</v>
          </cell>
        </row>
        <row r="431">
          <cell r="A431" t="str">
            <v>MENSULA GALVANIZADA EN CALIENTE PARA  13.2 kV CON GRAPA DE SUSPENSION</v>
          </cell>
        </row>
        <row r="432">
          <cell r="A432" t="str">
            <v>MURO EN LADRILLO TOLETE COMUN EN 0.125 PARA PAÑETAR</v>
          </cell>
        </row>
        <row r="433">
          <cell r="A433" t="str">
            <v>PAÑETE LISO IMPERMEABILIZADO/MURO. (M;1:3) E=0.015</v>
          </cell>
        </row>
        <row r="434">
          <cell r="A434" t="str">
            <v>PERCHA TIPO PESADO DE 1 PUESTO</v>
          </cell>
        </row>
        <row r="435">
          <cell r="A435" t="str">
            <v>PERCHA TIPO PESADO DE 2 PUESTO</v>
          </cell>
        </row>
        <row r="436">
          <cell r="A436" t="str">
            <v>PERCHA TIPO PESADO DE 2 PUESTO C/AP</v>
          </cell>
        </row>
        <row r="437">
          <cell r="A437" t="str">
            <v>PERCHA TIPO PESADO DE 3 PUESTO</v>
          </cell>
        </row>
        <row r="438">
          <cell r="A438" t="str">
            <v>PERCHA TIPO PESADO DE 3 PUESTO C/AP</v>
          </cell>
        </row>
        <row r="439">
          <cell r="A439" t="str">
            <v>PERCHA TIPO PESADO DE 4 PUESTO</v>
          </cell>
        </row>
        <row r="440">
          <cell r="A440" t="str">
            <v>PERCHA TIPO PESADO DE 4 PUESTO C/AP</v>
          </cell>
        </row>
        <row r="441">
          <cell r="A441" t="str">
            <v>PERCHA TIPO PESADO DE 5 PUESTO</v>
          </cell>
        </row>
        <row r="442">
          <cell r="A442" t="str">
            <v>PERCHA TIPO PESADO DE 5 PUESTO C/AP</v>
          </cell>
        </row>
        <row r="443">
          <cell r="A443" t="str">
            <v>PERNO DE OJO 5/8" x 10"</v>
          </cell>
        </row>
        <row r="444">
          <cell r="A444" t="str">
            <v>PERNO DE OJO 5/8" x 12"</v>
          </cell>
        </row>
        <row r="445">
          <cell r="A445" t="str">
            <v>PERNO DE OJO 5/8" x 5"</v>
          </cell>
        </row>
        <row r="446">
          <cell r="A446" t="str">
            <v>PERNO DE OJO 5/8" x 8"</v>
          </cell>
        </row>
        <row r="447">
          <cell r="A447" t="str">
            <v>PERNO DE OJO CERRADO 5/8" x 10"</v>
          </cell>
        </row>
        <row r="448">
          <cell r="A448" t="str">
            <v>PERNO DE OJO CERRADO 5/8" x 12"</v>
          </cell>
        </row>
        <row r="449">
          <cell r="A449" t="str">
            <v>PERNO DE OJO CERRADO 5/8" x 16"</v>
          </cell>
        </row>
        <row r="450">
          <cell r="A450" t="str">
            <v>PERNO DE OJO CERRADO 5/8" x 20"</v>
          </cell>
        </row>
        <row r="451">
          <cell r="A451" t="str">
            <v>PERNO DE OJO CERRADO 5/8" x 24"</v>
          </cell>
        </row>
        <row r="452">
          <cell r="A452" t="str">
            <v>PERNO DE OJO CERRADO 5/8" x 6"</v>
          </cell>
        </row>
        <row r="453">
          <cell r="A453" t="str">
            <v>PERNO EN "U" DE 12 mm (1/2") PARA CABLE DE GUARDA</v>
          </cell>
        </row>
        <row r="454">
          <cell r="A454" t="str">
            <v>PERNO O TORNILLO DE CARRIAJE 1/2" x 1 ½” + TUERCA</v>
          </cell>
        </row>
        <row r="455">
          <cell r="A455" t="str">
            <v>PERNO O TORNILLO DE CARRIAJE 1/2" x 3” + TUERCA</v>
          </cell>
        </row>
        <row r="456">
          <cell r="A456" t="str">
            <v>PERNO O TORNILLO DE CARRIAJE 5/8" x 1 ½” + TUERCA</v>
          </cell>
        </row>
        <row r="457">
          <cell r="A457" t="str">
            <v>PERNO O TORNILLO DE CARRIAJE 5/8" x 2 ½” + TUERCA</v>
          </cell>
        </row>
        <row r="458">
          <cell r="A458" t="str">
            <v>PERNO O TORNILLO DE CARRIAJE 5/8" x 6” + TUERCA</v>
          </cell>
        </row>
        <row r="459">
          <cell r="A459" t="str">
            <v>PERNOS DE MAQUINA 1/2" x 1 ½”</v>
          </cell>
        </row>
        <row r="460">
          <cell r="A460" t="str">
            <v>PERNOS DE MAQUINA 1/2" x 2"</v>
          </cell>
        </row>
        <row r="461">
          <cell r="A461" t="str">
            <v>PERNOS DE MAQUINA 1/2" x 6"</v>
          </cell>
        </row>
        <row r="462">
          <cell r="A462" t="str">
            <v>PERNOS DE MAQUINA 5/8" x 1 ½”</v>
          </cell>
        </row>
        <row r="463">
          <cell r="A463" t="str">
            <v>PERNOS DE MAQUINA 5/8" x 10"</v>
          </cell>
        </row>
        <row r="464">
          <cell r="A464" t="str">
            <v>PERNOS DE MAQUINA 5/8" x 12"</v>
          </cell>
        </row>
        <row r="465">
          <cell r="A465" t="str">
            <v>PERNOS DE MAQUINA 5/8" x 14"</v>
          </cell>
        </row>
        <row r="466">
          <cell r="A466" t="str">
            <v>PERNOS DE MAQUINA 5/8" x 16"</v>
          </cell>
        </row>
        <row r="467">
          <cell r="A467" t="str">
            <v>PERNOS DE MAQUINA 5/8" x 2"</v>
          </cell>
        </row>
        <row r="468">
          <cell r="A468" t="str">
            <v>PERNOS DE MAQUINA 5/8" x 20"</v>
          </cell>
        </row>
        <row r="469">
          <cell r="A469" t="str">
            <v>PERNOS DE MAQUINA 5/8" x 24"</v>
          </cell>
        </row>
        <row r="470">
          <cell r="A470" t="str">
            <v>PERNOS DE MAQUINA 5/8" x 6"</v>
          </cell>
        </row>
        <row r="471">
          <cell r="A471" t="str">
            <v>PERNOS DE MAQUINA 5/8" x 8"</v>
          </cell>
        </row>
        <row r="472">
          <cell r="A472" t="str">
            <v>PINTURA REFLECTIVA AMARILLA (pintura acrilica para trafico)</v>
          </cell>
        </row>
        <row r="473">
          <cell r="A473" t="str">
            <v>PINTURA REFLECTIVA NEGRA (pintura acrilica para trafico)</v>
          </cell>
        </row>
        <row r="474">
          <cell r="A474" t="str">
            <v xml:space="preserve">PLACA TOMA EXTERIOR GRIS (Tapa interperie para tomacorriente doble con proteccion individual plastica color gris que cumpla con la norma  UL) </v>
          </cell>
        </row>
        <row r="475">
          <cell r="A475" t="str">
            <v>PLATINA SOPORTE ESPIGO</v>
          </cell>
        </row>
        <row r="476">
          <cell r="A476" t="str">
            <v>PORTA AISLADOR CRUCETA METÁLICA</v>
          </cell>
        </row>
        <row r="477">
          <cell r="A477" t="str">
            <v>POSTE DE CONCRETO 10 METROS-1050kg-HOMOLOGADO</v>
          </cell>
        </row>
        <row r="478">
          <cell r="A478" t="str">
            <v>POSTE DE CONCRETO 10 METROS-510kg-HOMOLOGADO</v>
          </cell>
        </row>
        <row r="479">
          <cell r="A479" t="str">
            <v>POSTE DE CONCRETO 10 METROS-750kg-HOMOLOGADO</v>
          </cell>
        </row>
        <row r="480">
          <cell r="A480" t="str">
            <v>POSTE DE CONCRETO 12 METROS-1050kg-HOMOLOGADO</v>
          </cell>
        </row>
        <row r="481">
          <cell r="A481" t="str">
            <v>POSTE DE CONCRETO 12 METROS-510kg-HOMOLOGADO</v>
          </cell>
        </row>
        <row r="482">
          <cell r="A482" t="str">
            <v>POSTE DE CONCRETO 12 METROS-750kg-HOMOLOGADO</v>
          </cell>
        </row>
        <row r="483">
          <cell r="A483" t="str">
            <v>POSTE DE CONCRETO 8 METROS-1050kg-HOMOLOGADO</v>
          </cell>
        </row>
        <row r="484">
          <cell r="A484" t="str">
            <v>POSTE DE CONCRETO 8 METROS-510kg-HOMOLOGADO</v>
          </cell>
        </row>
        <row r="485">
          <cell r="A485" t="str">
            <v>POSTE DE CONCRETO 8 METROS-750kg-HOMOLOGADO</v>
          </cell>
        </row>
        <row r="486">
          <cell r="A486" t="str">
            <v>POSTE DE MADERA INMUNIZADA 12 METROS</v>
          </cell>
        </row>
        <row r="487">
          <cell r="A487" t="str">
            <v>POSTE DE MADERA INMUNIZADA 8 METROS</v>
          </cell>
        </row>
        <row r="488">
          <cell r="A488" t="str">
            <v>POSTE EN FIBRA DE VIDRIO 10 METROS -510kg</v>
          </cell>
        </row>
        <row r="489">
          <cell r="A489" t="str">
            <v>POSTE EN FIBRA DE VIDRIO 10 METROS-1050kg</v>
          </cell>
        </row>
        <row r="490">
          <cell r="A490" t="str">
            <v>POSTE EN FIBRA DE VIDRIO 10 METROS-750kg</v>
          </cell>
        </row>
        <row r="491">
          <cell r="A491" t="str">
            <v>POSTE EN FIBRA DE VIDRIO 12 METROS -1050kg</v>
          </cell>
        </row>
        <row r="492">
          <cell r="A492" t="str">
            <v>POSTE EN FIBRA DE VIDRIO 12 METROS -510kg</v>
          </cell>
        </row>
        <row r="493">
          <cell r="A493" t="str">
            <v>POSTE EN FIBRA DE VIDRIO 12 METROS -750kg</v>
          </cell>
        </row>
        <row r="494">
          <cell r="A494" t="str">
            <v>POSTE EN FIBRA DE VIDRIO 8 METROS  -510kg</v>
          </cell>
        </row>
        <row r="495">
          <cell r="A495" t="str">
            <v>POSTE EN FIBRA DE VIDRIO 8 METROS -750kg</v>
          </cell>
        </row>
        <row r="496">
          <cell r="A496" t="str">
            <v>PRENSA ESTOPA ALUMINIO 1/2" NPT</v>
          </cell>
        </row>
        <row r="497">
          <cell r="A497" t="str">
            <v>PROTECTORES DE VOLTAJE BREAKERMATIC REF PBE220-AM / 220-AT / 220-BM</v>
          </cell>
        </row>
        <row r="498">
          <cell r="A498" t="str">
            <v>RECONECTADOR 15 KV, 630 AMPERIOS, 12,5 kA, AISLAMIENTO EN POLIMERO EPOXICO  - INTERRUPCION EN  VACIO (CAMPO NETICO AXIAL) , CONTROL Y PROTECCION POR MICROPROCESADOR, DESCARGADORES DE SOBRETENSION EN BAJA, ESTRUCTURA PARA MONTAJE EN POSTE, INTERFAZ LOCAL C</v>
          </cell>
        </row>
        <row r="499">
          <cell r="A499" t="str">
            <v xml:space="preserve">REFLECTOR CUADRADO CERRADO ESTRIBO DE 250 W-SODIO ALTA PRESION  </v>
          </cell>
        </row>
        <row r="500">
          <cell r="A500" t="str">
            <v>REFLECTOR DE 250 W-SODIO ALTA PRESION -220 VOLTIOS-SODIO ALTA PRESION-CUADRADO-CERRADO - ESTRIBOS - COMPLETA ACCESORIOS DE FIJACION E INSTALACION  -REFERENCIA RCG ROY ALPHA; Incluye accesorios de sujeción</v>
          </cell>
        </row>
        <row r="501">
          <cell r="A501" t="str">
            <v>REGULADOR DE VOLTAJE</v>
          </cell>
        </row>
        <row r="502">
          <cell r="A502" t="str">
            <v>RELLENO ARENA DE PEÑA</v>
          </cell>
        </row>
        <row r="503">
          <cell r="A503" t="str">
            <v>RELLENO DE EXCAVACIÓN CON MATERIAL LOCAL SELECCIONADO</v>
          </cell>
        </row>
        <row r="504">
          <cell r="A504" t="str">
            <v xml:space="preserve">RETIRO DE ESCOMBROS </v>
          </cell>
        </row>
        <row r="505">
          <cell r="A505" t="str">
            <v>SALIDA FOTOCELDA 1000W; Prom 2m; Incluye Fotocelda</v>
          </cell>
        </row>
        <row r="506">
          <cell r="A506" t="str">
            <v xml:space="preserve">SALIDA TV INCLUYE TOMA COAXIAL CABLE RG 59 CON TERMINALES DE ROSCA, CONDUIT EMT 3/4". SPLITER 1 IN 2 OUT Prom 11m  </v>
          </cell>
        </row>
        <row r="507">
          <cell r="A507" t="str">
            <v xml:space="preserve">SECCIONADOR ENTRADA- SALIDA CON ENCLAVAMIENTO MECÁNICO DE MEDIA TENSIÓN 15 kV-630 A EN CELDA TIPO INTEMPERIE CONSTRUIDA EN LAMINA GALVANIZADA EN CALIENTE Y RESISTENCIA DE CALEFACCIÓN CONTROLADAS POR TERMÓSTATO (FUNCIONAMIENTO COMO TRANSFERENCIA MANUAL EN </v>
          </cell>
        </row>
        <row r="508">
          <cell r="A508" t="str">
            <v>SECCIONADOR MONOPOLAR 200 A – 15 kV</v>
          </cell>
        </row>
        <row r="509">
          <cell r="A509" t="str">
            <v>SECCIONADOR MONOPOLAR 400 A – 15 kV</v>
          </cell>
        </row>
        <row r="510">
          <cell r="A510" t="str">
            <v>SISTEMA DE ACONDICIONAMIENTO DE AIRE: 1 UND CONDENSADORA 1X12000BTU/HR-208V, 60HZ, 1500W MAX; CON 1 UNIDAD EVAPORADORAS DE 12000BTU/HR (ADOSADA A MURO). INCLUYE RED DE REFRIGERACION EN TUBERIA DE COBRE CON AISLAMIENTO TERMICO, TODOS LOS ELEMENTOS, INSUMOS</v>
          </cell>
        </row>
        <row r="511">
          <cell r="A511" t="str">
            <v>SISTEMA DE ACONDICIONAMIENTO DE AIRE: 1 UND CONDENSADORA 1X18000BTU/HR-208V, 60HZ, 1500W MAX; CON 1 UNIDAD EVAPORADORAS DE 18000BTU/HR (ADOSADA A MURO). INCLUYE RED DE REFRIGERACION EN TUBERIA DE COBRE CON AISLAMIENTO TERMICO, TODOS LOS ELEMENTOS, INSUMOS</v>
          </cell>
        </row>
        <row r="512">
          <cell r="A512" t="str">
            <v>SISTEMA DE ACONDICIONAMIENTO DE AIRE: 1 UND CONDENSADORA 1X9000BTU/HR-208V, 60HZ, 1500W MAX; CON 2 UNIDADES EVAPORADORAS DE 9000BTU/HR (ADOSADA A MURO). INCLUYE RED DE REFRIGERACION EN TUBERIA DE COBRE CON AISLAMIENTO TERMICO, TODOS LOS ELEMENTOS, INSUMOS</v>
          </cell>
        </row>
        <row r="513">
          <cell r="A513" t="str">
            <v>SISTEMA DE ILUMINACION SOLAR, INCLUYE 2 PANELES SOLARES FOTOVOLTAICOS, BATERIAS DE GEL CICLO DE DESCARGA PROFUNDA, 1 LUMINARIA TIPO LED Y ACCESORIOS VARIOS PARA PUESTA EN FUNCIONAMIENTO (HERRAJES Y CABLEADO)</v>
          </cell>
        </row>
        <row r="514">
          <cell r="A514" t="str">
            <v>SOLDADURA EXOTERMICA TIPO CADWELD  DE 115 GRAMOS</v>
          </cell>
        </row>
        <row r="515">
          <cell r="A515" t="str">
            <v>SOPORTE PARA LUMINARIA HORIZONTAL VÍAS SECUNDARIAS</v>
          </cell>
        </row>
        <row r="516">
          <cell r="A516" t="str">
            <v>SOPORTE SENCILLO PARA AVENIDAS POSTE DE CONCRETO ABRAZADERA TIPO 1 "140 mm"</v>
          </cell>
        </row>
        <row r="517">
          <cell r="A517" t="str">
            <v xml:space="preserve">SUBESTACION PEDESTAL RADIAL DE 112,5 kVA -60 Hz - 13.200 V / 208-120 V (con un Suiche on-off de dos posiciones,una Válvula de sobrepresión,tres Bujes insertos de 600A para terminales tipo T, tres Bujes tipo pozo, tres Fusibles de expulsión tipo bayoneta, </v>
          </cell>
        </row>
        <row r="518">
          <cell r="A518" t="str">
            <v>SUBESTACION PEDESTAL RADIAL DE 150kVA -60 Hz - 13.200 V / 208-120 V (con un Suiche on-off de dos posiciones,una Válvula de sobrepresión,tres Bujes insertos de 600A para terminales tipo T, tres Bujes tipo pozo, tres Fusibles de expulsión tipo bayoneta, tre</v>
          </cell>
        </row>
        <row r="519">
          <cell r="A519" t="str">
            <v>SUBESTACION PEDESTAL RADIAL DE 225kVA -60 Hz - 13.200 V / 208-120 V (con un Suiche on-off de dos posiciones,una Válvula de sobrepresión,tres Bujes insertos de 600A para terminales tipo T, tres Bujes tipo pozo, tres Fusibles de expulsión tipo bayoneta, tre</v>
          </cell>
        </row>
        <row r="520">
          <cell r="A520" t="str">
            <v>SUBESTACION PEDESTAL RADIAL DE 300kVA -60 Hz - 13.200 V / 208-120 V (con un Suiche on-off de dos posiciones,una Válvula de sobrepresión,tres Bujes insertos de 600A para terminales tipo T, tres Bujes tipo pozo, tres Fusibles de expulsión tipo bayoneta, tre</v>
          </cell>
        </row>
        <row r="521">
          <cell r="A521" t="str">
            <v>SUBESTACION PEDESTAL RADIAL DE 30kVA -60 Hz - 13.200 V / 208-120 V (con un Suiche on-off de dos posiciones,una Válvula de sobrepresión,tres Bujes insertos, tres Bujes tipo pozo, tres Codos de desconexión 15 kV 200Amp, tres Fusibles de expulsión tipo bayon</v>
          </cell>
        </row>
        <row r="522">
          <cell r="A522" t="str">
            <v>SUBESTACION PEDESTAL RADIAL DE 45kVA -60 Hz - 13.200 V / 208-120 V (con un Suiche on-off de dos posiciones,una Válvula de sobrepresión,tres Bujes insertos, tres Bujes tipo pozo, tres Codos de desconexión 15 kV 200Amp, tres Fusibles de expulsión tipo bayon</v>
          </cell>
        </row>
        <row r="523">
          <cell r="A523" t="str">
            <v>SUBESTACION PEDESTAL RADIAL DE 75kVA -60 Hz - 13.200 V / 208-120 V (con un Suiche on-off de dos posiciones,una Válvula de sobrepresión,tres Bujes insertos, tres Bujes tipo pozo, tres Codos de desconexión 15 kV 200Amp, tres Fusibles de expulsión tipo bayon</v>
          </cell>
        </row>
        <row r="524">
          <cell r="A524" t="str">
            <v>SUELO ARTIFICIAL CEMENTO CONDUCTOR CELEC</v>
          </cell>
        </row>
        <row r="525">
          <cell r="A525" t="str">
            <v>SUMINISTRO, INSTALACION  Y PUESTA EN FUNCIONAMIENTO DE TRANSFORMADOR TRIFASICO PEDESTAL TIPO RADIAL 300 kVA -DyN5, 60 Hz, 13200/214-123 VOLTIOS USO INTEMPERIE- HOMOLOGADO -INCLUYE  INSTALACION ACCESORIOS DE FIJACION -PROTOCOLO DE PRUEBAS. APLICACIÓN NORMA</v>
          </cell>
        </row>
        <row r="526">
          <cell r="A526" t="str">
            <v xml:space="preserve">SUPRESOR DE TRANSITORIOS DE TENSIÓN (TVSS) 3F-4H-50 KA - 240/120 VAC.-  REFERENCIA MERLIN GERIN </v>
          </cell>
        </row>
        <row r="527">
          <cell r="A527" t="str">
            <v>TABLERO  INDUSTRIAL, CON ESPACIO PARA UNA TRANSFERENCIA MANUAL POR INTERRUPTORES 500A,  DE EJECUCION UNICA IP44, PUERTA Y CHAPA  -220 V-5HILOS-60HZ , TIPO MULTICARGAS,  INTERRUPTORES DE SALIDA TRIFASICOS ;AUTOSOPORTADO,  FABRICADO EN LÁMINA GALVANIZADA CA</v>
          </cell>
        </row>
        <row r="528">
          <cell r="A528" t="str">
            <v>TABLERO DE 12 CIRCUITOS 2F4H, CON PUERTA - CON BARRAJE, BARRA NEUTRO Y BARRA TIERRA  Calidad Legrand, Siemens, SqareD o superior de marca reconocida y homologada por el CIDET</v>
          </cell>
        </row>
        <row r="529">
          <cell r="A529" t="str">
            <v>TABLERO DE 12 CIRCUITOS 2F4H, CON PUERTA Y ESPACIO PARA TOTALIZADOR, CHAPA Y LLAVE - CON BARRAJE, BARRA NEUTRO Y BARRA TIERRA  Calidad Legrand, Siemens, SqareD o superior de marca reconocida y homologada por el CIDET</v>
          </cell>
        </row>
        <row r="530">
          <cell r="A530" t="str">
            <v>TABLERO DE 12 CIRCUITOS 2F4H, SIN PUERTA CON BARRAJE, BARRA NEUTRO Y BARRA TIERRA  Calidad Legrand, Siemens, SqareD o superior de marca reconocida y homologada por el CIDET</v>
          </cell>
        </row>
        <row r="531">
          <cell r="A531" t="str">
            <v>TABLERO DE 12 CIRCUITOS 3F5H, CON PUERTA Y ESPACIO PARA TOTALIZADOR, CON  BARRA NEUTRO Y BARRA TIERRA  Calidad Legrand, Siemens, SqareD o superior de marca reconocida y homologada por el CIDET</v>
          </cell>
        </row>
        <row r="532">
          <cell r="A532" t="str">
            <v>TABLERO DE 12 CIRCUITOS 3F5H, CON PUERTA, BARRAJE, BARRA NEUTRO Y BARRA TIERRA  Calidad Legrand, Siemens, SqareD o superior de marca reconocida y homologada por el CIDET</v>
          </cell>
        </row>
        <row r="533">
          <cell r="A533" t="str">
            <v>TABLERO DE 18 CIRCUITOS 2F4H, CON PUERTA - CON BARRAJE, BARRA NEUTRO Y BARRA TIERRA  Calidad Legrand, Siemens, SqareD o superior de marca reconocida y homologada por el CIDET</v>
          </cell>
        </row>
        <row r="534">
          <cell r="A534" t="str">
            <v>TABLERO DE 18 CIRCUITOS 3F5H, CON PUERTA - CON BARRAJE, BARRA NEUTRO Y BARRA TIERRA  Calidad Legrand, Siemens, SqareD o superior de marca reconocida y homologada por el CIDET</v>
          </cell>
        </row>
        <row r="535">
          <cell r="A535" t="str">
            <v>TABLERO DE 18 CIRCUITOS 3F5H, CON PUERTA Y ESPACIO PARA TOTALIZADOR, BARRAJE , BARRA NEUTRO Y BARRA TIERRA  Calidad Legrand, Siemens, SqareD o superior de marca reconocida y homologada por el CIDET</v>
          </cell>
        </row>
        <row r="536">
          <cell r="A536" t="str">
            <v>TABLERO DE 24 CIRCUITOS 2F4H, CON PUERTA - CON BARRAJE PARA 125A BARRA NEUTRO Y BARRA TIERRA  Calidad Legrand, Siemens, SqareD o superior de marca reconocida y homologada por el CIDET</v>
          </cell>
        </row>
        <row r="537">
          <cell r="A537" t="str">
            <v>TABLERO DE 24 CIRCUITOS 3F5H, CON PUERTA Y ESPACIO PARA TOTALIZADOR,  BARRA NEUTRO Y BARRA TIERRA  Calidad Legrand, Siemens, SqareD o superior de marca reconocida y homologada por el CIDET</v>
          </cell>
        </row>
        <row r="538">
          <cell r="A538" t="str">
            <v>TABLERO DE 24 CIRCUITOS 3F5H, CON PUERTA,BARRAJE , BARRA NEUTRO Y BARRA TIERRA  Calidad Legrand, Siemens, SqareD o superior de marca reconocida y homologada por el CIDET</v>
          </cell>
        </row>
        <row r="539">
          <cell r="A539" t="str">
            <v>TABLERO DE 30 CIRCUITOS 3F5H, CON PUERTA Y ESPACIO PARA TOTALIZADOR, BARRAJE , BARRA NEUTRO Y BARRA TIERRA  Calidad Legrand, Siemens, SqareD o superior de marca reconocida y homologada por el CIDET</v>
          </cell>
        </row>
        <row r="540">
          <cell r="A540" t="str">
            <v>TABLERO DE 30 CIRCUITOS 3F5H, CON PUERTA, BARRAJE , BARRA NEUTRO Y BARRA TIERRA  Calidad Legrand, Siemens, SqareD o superior de marca reconocida y homologada por el CIDET</v>
          </cell>
        </row>
        <row r="541">
          <cell r="A541" t="str">
            <v>TABLERO DE 36 CIRCUITOS 3F5H, CON PUERTA Y ESPACIO PARA TOTALIZADOR, BARRAJE , BARRA NEUTRO Y BARRA TIERRA  Calidad Legrand, Siemens, SqareD o superior de marca reconocida y homologada por el CIDET</v>
          </cell>
        </row>
        <row r="542">
          <cell r="A542" t="str">
            <v>TABLERO DE 36 CIRCUITOS 3F5H, CON PUERTA, BARRAJE , BARRA NEUTRO Y BARRA TIERRA  Calidad Legrand, Siemens, SqareD o superior de marca reconocida y homologada por el CIDET</v>
          </cell>
        </row>
        <row r="543">
          <cell r="A543" t="str">
            <v>TABLERO DE 42 CIRCUITOS 3F5H, CON PUERTA Y ESPACIO PARA TOTALIZADOR, BARRAJE , BARRA NEUTRO Y BARRA TIERRA  Calidad Legrand, Siemens, SqareD o superior de marca reconocida y homologada por el CIDET</v>
          </cell>
        </row>
        <row r="544">
          <cell r="A544" t="str">
            <v>TABLERO DE 42 CIRCUITOS 3F5H, CON PUERTA, BARRAJE , BARRA NEUTRO Y BARRA TIERRA  Calidad Legrand, Siemens, SqareD o superior de marca reconocida y homologada por el CIDET</v>
          </cell>
        </row>
        <row r="545">
          <cell r="A545" t="str">
            <v>TABLERO DE 8 CIRCUITOS 2F4H, CON PUERTA - CON BARRA NEUTRO Y BARRA TIERRA  Calidad Legrand, Siemens, SqareD o superior de marca reconocida y homologada por el CIDET</v>
          </cell>
        </row>
        <row r="546">
          <cell r="A546" t="str">
            <v>TABLERO DE 8 CIRCUITOS 2F4H, SIN PUERTA CON BARRAJE , BARRA NEUTRO Y BARRA TIERRA  Calidad Legrand, Siemens, SqareD o superior de marca reconocida y homologada por el CIDET</v>
          </cell>
        </row>
        <row r="547">
          <cell r="A547" t="str">
            <v>TAPA CIEGA CON IMPACTO GALVANIZADA CUADRADA 4X4"</v>
          </cell>
        </row>
        <row r="548">
          <cell r="A548" t="str">
            <v>TAPA EN CONCRETO (4000 PSI)</v>
          </cell>
        </row>
        <row r="549">
          <cell r="A549" t="str">
            <v>TAPA EN PLATINA TIPO ALFAJOR</v>
          </cell>
        </row>
        <row r="550">
          <cell r="A550" t="str">
            <v>TAPÓN SELLADOR DE CABLE 25 mm2</v>
          </cell>
        </row>
        <row r="551">
          <cell r="A551" t="str">
            <v>TERMINAL-CONECTOR EMT 1 1/2"</v>
          </cell>
        </row>
        <row r="552">
          <cell r="A552" t="str">
            <v>TERMINAL-CONECTOR EMT 1 1/4"</v>
          </cell>
        </row>
        <row r="553">
          <cell r="A553" t="str">
            <v>TERMINAL-CONECTOR EMT 1"</v>
          </cell>
        </row>
        <row r="554">
          <cell r="A554" t="str">
            <v>TERMINAL-CONECTOR EMT 1/2"</v>
          </cell>
        </row>
        <row r="555">
          <cell r="A555" t="str">
            <v>TERMINAL-CONECTOR EMT 2"</v>
          </cell>
        </row>
        <row r="556">
          <cell r="A556" t="str">
            <v>TERMINAL-CONECTOR EMT 3"</v>
          </cell>
        </row>
        <row r="557">
          <cell r="A557" t="str">
            <v>TERMINAL-CONECTOR EMT 3/4"</v>
          </cell>
        </row>
        <row r="558">
          <cell r="A558" t="str">
            <v>TERMINALES PREMOLDEADAS PARA 15 kV - USO EXTERIOR PARA CALIBRES DE CABLES ENTRE 2 - 3/0 - JUEGO x 3 UNIDADES</v>
          </cell>
        </row>
        <row r="559">
          <cell r="A559" t="str">
            <v>TERMINALES PREMOLDEADAS PARA 15 kV - USO INTERIOR PARA CALIBRES DE CABLES ENTRE 2 - 3/0 - JUEGO x 3 UNIDADES</v>
          </cell>
        </row>
        <row r="560">
          <cell r="A560" t="str">
            <v xml:space="preserve">TOMA CORRIENTE  DOBLE  CON POLO A TIERRA (2P+T) 20A 250V </v>
          </cell>
        </row>
        <row r="561">
          <cell r="A561" t="str">
            <v>TOMA CORRIENTE DOBLE CON  PROTECCION FALLA A TIERRA GFCI</v>
          </cell>
        </row>
        <row r="562">
          <cell r="A562" t="str">
            <v xml:space="preserve">TOMA CORRIENTE DOBLE CON POLO A TIERRA  Nema 5-15-R; </v>
          </cell>
        </row>
        <row r="563">
          <cell r="A563" t="str">
            <v xml:space="preserve">TOMA CORRIENTE DOBLE CON POLO A TIERRA PARA PISO EN ACERO CROMADO Nema 5-15-R; </v>
          </cell>
        </row>
        <row r="564">
          <cell r="A564" t="str">
            <v xml:space="preserve">TOMA CORRIENTE DOBLE PROTECCION FALLA A TIERRA </v>
          </cell>
        </row>
        <row r="565">
          <cell r="A565" t="str">
            <v>TOMA CORRIENTE SUPRESOR DE TRASIENTES, DOBLE CON POLO A TIERRA (2P+T), 20A, 127 V CON POLO A TIERRA AISLADO Y GRADO HOSPITALARIO (HG). APTA PARA REDES REGULADAS Y CONEXIÓN DE EQUIPOS ALTAMENTE SENSIBLE (NEMA 5-20R) Color naranja</v>
          </cell>
        </row>
        <row r="566">
          <cell r="A566" t="str">
            <v>TOMA DE INCRUSTAR 50A 250V BIFASICA</v>
          </cell>
        </row>
        <row r="567">
          <cell r="A567" t="str">
            <v>TOMA PARA TABLERO 250V, 16A, 2P+T, IP 44, P17 Tempra</v>
          </cell>
        </row>
        <row r="568">
          <cell r="A568" t="str">
            <v>TOMA PARA TABLERO 250V, 32A, 3P+N+T, IP 44, P17 Tempra</v>
          </cell>
        </row>
        <row r="569">
          <cell r="A569" t="str">
            <v>TOMA PARA TABLERO 250V, 63A, 3P+N+T, IP 67, P17 Tempra</v>
          </cell>
        </row>
        <row r="570">
          <cell r="A570" t="str">
            <v xml:space="preserve">TOMA TVA COAXIAL </v>
          </cell>
        </row>
        <row r="571">
          <cell r="A571" t="str">
            <v>TORNILLO DE ACERO GALVANIZADO 1/2"X1 1/2"</v>
          </cell>
        </row>
        <row r="572">
          <cell r="A572" t="str">
            <v xml:space="preserve">TORNILLO DE ACERO GALVANIZADO 5/8" X 10" </v>
          </cell>
        </row>
        <row r="573">
          <cell r="A573" t="str">
            <v xml:space="preserve">TORNILLO DE ACERO GALVANIZADO 5/8" X 5" </v>
          </cell>
        </row>
        <row r="574">
          <cell r="A574" t="str">
            <v xml:space="preserve">TORNILLO DE ACERO GALVANIZADO 5/8" X 8" </v>
          </cell>
        </row>
        <row r="575">
          <cell r="A575" t="str">
            <v>TORNILLO DE BRONCE PARA BORNA TERMINAL</v>
          </cell>
        </row>
        <row r="576">
          <cell r="A576" t="str">
            <v>TORNILLO SOPORTE PARA BRAZO DE LUMINARIA 1/2"</v>
          </cell>
        </row>
        <row r="577">
          <cell r="A577" t="str">
            <v>TRANSFORMADOR DE DISTRIBUCION  TRIFASICO AUTOPROTEGIDO 15 kVA-DyN5, 60 Hz, 13.2 kV-208/120 VOLTIOS ACEITE- INTEMPERIE- HOMOLOGADO -ACCESORIOS DE SUJECION -PROTOCOLO DE PRUEBAS. (DPS PRIMARIOS, INTERRUPTOR AUTOMATICO BAJA TENSION  INCORPORADO EN LA CUBA CO</v>
          </cell>
        </row>
        <row r="578">
          <cell r="A578" t="str">
            <v xml:space="preserve">TRANSFORMADOR DE DISTRIBUCION  TRIFASICO AUTOPROTEGIDO 112,5 kVA-DyN5, 60 Hz, 13.2 kV-208/120 VOLTIOS ACEITE- INTEMPERIE- HOMOLOGADO -ACCESORIOS DE SUJECION -PROTOCOLO DE PRUEBAS. (DPS PRIMARIOS) </v>
          </cell>
        </row>
        <row r="579">
          <cell r="A579" t="str">
            <v xml:space="preserve">TRANSFORMADOR DE DISTRIBUCION  TRIFASICO AUTOPROTEGIDO 150 kVA-DyN5, 60 Hz, 13.2 kV-208/120 VOLTIOS ACEITE- INTEMPERIE- HOMOLOGADO -ACCESORIOS DE SUJECION -PROTOCOLO DE PRUEBAS. (DPS PRIMARIOS) </v>
          </cell>
        </row>
        <row r="580">
          <cell r="A580" t="str">
            <v xml:space="preserve">TRANSFORMADOR DE DISTRIBUCION  TRIFASICO AUTOPROTEGIDO 225 kVA-DyN5, 60 Hz, 13.2 kV-220/127 VOLTIOS ACEITE- INTEMPERIE- HOMOLOGADO -ACCESORIOS DE SUJECION -PROTOCOLO DE PRUEBAS. (DPS PRIMARIOS) </v>
          </cell>
        </row>
        <row r="581">
          <cell r="A581" t="str">
            <v>TRANSFORMADOR DE DISTRIBUCION  TRIFASICO AUTOPROTEGIDO 30 kVA-DyN5, 60 Hz, 13.2 kV-208/120 VOLTIOS ACEITE- INTEMPERIE- HOMOLOGADO -ACCESORIOS DE SUJECION -PROTOCOLO DE PRUEBAS. (DPS PRIMARIOS, INTERRUPTOR AUTOMATICO BAJA TENSION  INCORPORADO EN LA CUBA CO</v>
          </cell>
        </row>
        <row r="582">
          <cell r="A582" t="str">
            <v>TRANSFORMADOR DE DISTRIBUCION  TRIFASICO AUTOPROTEGIDO 45 kVA-DyN5, 60 Hz, 13.2 kV-208/120 VOLTIOS ACEITE- INTEMPERIE- HOMOLOGADO -ACCESORIOS DE SUJECION -PROTOCOLO DE PRUEBAS. (DPS PRIMARIOS, INTERRUPTOR AUTOMATICO BAJA TENSION  INCORPORADO EN LA CUBA CO</v>
          </cell>
        </row>
        <row r="583">
          <cell r="A583" t="str">
            <v xml:space="preserve">TRANSFORMADOR DE DISTRIBUCION  TRIFASICO AUTOPROTEGIDO 75 kVA-DyN5, 60 Hz, 13.2 kV-208/120 VOLTIOS ACEITE- INTEMPERIE- HOMOLOGADO -ACCESORIOS DE SUJECION -PROTOCOLO DE PRUEBAS. (DPS PRIMARIOS) </v>
          </cell>
        </row>
        <row r="584">
          <cell r="A584" t="str">
            <v>TRANSFORMADOR DE TENSIÓN TIPO SECO EXTERIOR, TENSIÓN NOMINAL PRIMARIA  DE 13,2 /√3 kV,  TENSIÓN NOMINAL  SECUNDARIA 120/√3 V, BIL 200 kVA, POTENCIA NOMINAL 25 VA, CLASE 0.5, 60 HZ, REF. ALSTOM O SIMILAR QUE CUMPLA CON LA NORMA IEC CORRESPONDIENTE, PROTOCO</v>
          </cell>
        </row>
        <row r="585">
          <cell r="A585" t="str">
            <v>TRANSFORMADORES DE CORRIENTE TIPO VENTANA RELACION 500/5, 240V, CLASE 0,5 50X12 mm</v>
          </cell>
        </row>
        <row r="586">
          <cell r="A586" t="str">
            <v>TRANSFORMADORES DE CORRIENTE TIPO VENTANA RELACION 800/5, 240V, CLASE 0,5 50X12 mm</v>
          </cell>
        </row>
        <row r="587">
          <cell r="A587" t="str">
            <v>TUBO CONDUIT GALVANIZADA EMT 1 1/2"</v>
          </cell>
        </row>
        <row r="588">
          <cell r="A588" t="str">
            <v>TUBO CONDUIT GALVANIZADA EMT 1"</v>
          </cell>
        </row>
        <row r="589">
          <cell r="A589" t="str">
            <v>TUBO CONDUIT GALVANIZADA EMT 1/2"</v>
          </cell>
        </row>
        <row r="590">
          <cell r="A590" t="str">
            <v xml:space="preserve">TUBO CONDUIT GALVANIZADA EMT 2" </v>
          </cell>
        </row>
        <row r="591">
          <cell r="A591" t="str">
            <v xml:space="preserve">TUBO CONDUIT GALVANIZADA EMT 3" </v>
          </cell>
        </row>
        <row r="592">
          <cell r="A592" t="str">
            <v xml:space="preserve">TUBO CONDUIT GALVANIZADA EMT 3/4" </v>
          </cell>
        </row>
        <row r="593">
          <cell r="A593" t="str">
            <v xml:space="preserve">TUBO CONDUIT GALVANIZADA EMT 4" </v>
          </cell>
        </row>
        <row r="594">
          <cell r="A594" t="str">
            <v xml:space="preserve">TUBO CONDUIT IMC 1 1/2" </v>
          </cell>
        </row>
        <row r="595">
          <cell r="A595" t="str">
            <v xml:space="preserve">TUBO CONDUIT IMC 1 1/4" </v>
          </cell>
        </row>
        <row r="596">
          <cell r="A596" t="str">
            <v xml:space="preserve">TUBO CONDUIT IMC 1" </v>
          </cell>
        </row>
        <row r="597">
          <cell r="A597" t="str">
            <v xml:space="preserve">TUBO CONDUIT IMC 1/2" </v>
          </cell>
        </row>
        <row r="598">
          <cell r="A598" t="str">
            <v xml:space="preserve">TUBO CONDUIT IMC 2" </v>
          </cell>
        </row>
        <row r="599">
          <cell r="A599" t="str">
            <v xml:space="preserve">TUBO CONDUIT IMC 3" </v>
          </cell>
        </row>
        <row r="600">
          <cell r="A600" t="str">
            <v>TUBO CONDUIT IMC 3/4"</v>
          </cell>
        </row>
        <row r="601">
          <cell r="A601" t="str">
            <v xml:space="preserve">TUBO CONDUIT IMC 4" </v>
          </cell>
        </row>
        <row r="602">
          <cell r="A602" t="str">
            <v>TUBO CONDUIT PVC 1 1/2"</v>
          </cell>
        </row>
        <row r="603">
          <cell r="A603" t="str">
            <v>TUBO CONDUIT PVC 1 1/4"</v>
          </cell>
        </row>
        <row r="604">
          <cell r="A604" t="str">
            <v>TUBO CONDUIT PVC 1"</v>
          </cell>
        </row>
        <row r="605">
          <cell r="A605" t="str">
            <v>TUBO CONDUIT PVC 1/2"</v>
          </cell>
        </row>
        <row r="606">
          <cell r="A606" t="str">
            <v>TUBO CONDUIT PVC 2"</v>
          </cell>
        </row>
        <row r="607">
          <cell r="A607" t="str">
            <v>TUBO CONDUIT PVC 3/4"</v>
          </cell>
        </row>
        <row r="608">
          <cell r="A608" t="str">
            <v xml:space="preserve">TUBO CONDUIT RIGID 1 1/2" </v>
          </cell>
        </row>
        <row r="609">
          <cell r="A609" t="str">
            <v xml:space="preserve">TUBO CONDUIT RIGID 1 1/4" </v>
          </cell>
        </row>
        <row r="610">
          <cell r="A610" t="str">
            <v xml:space="preserve">TUBO CONDUIT RIGID 1" </v>
          </cell>
        </row>
        <row r="611">
          <cell r="A611" t="str">
            <v xml:space="preserve">TUBO CONDUIT RIGID 1/2" </v>
          </cell>
        </row>
        <row r="612">
          <cell r="A612" t="str">
            <v xml:space="preserve">TUBO CONDUIT RIGID 2" </v>
          </cell>
        </row>
        <row r="613">
          <cell r="A613" t="str">
            <v xml:space="preserve">TUBO CONDUIT RIGID 3" </v>
          </cell>
        </row>
        <row r="614">
          <cell r="A614" t="str">
            <v>TUBO CONDUIT RIGID 3/4"</v>
          </cell>
        </row>
        <row r="615">
          <cell r="A615" t="str">
            <v xml:space="preserve">TUBO CONDUIT RIGID 4" </v>
          </cell>
        </row>
        <row r="616">
          <cell r="A616" t="str">
            <v>TUBO DE PVC FLEXIBLE DE ½ "</v>
          </cell>
        </row>
        <row r="617">
          <cell r="A617" t="str">
            <v>TUBO PVC DB 2"</v>
          </cell>
        </row>
        <row r="618">
          <cell r="A618" t="str">
            <v>TUBO PVC DB 3"</v>
          </cell>
        </row>
        <row r="619">
          <cell r="A619" t="str">
            <v>TUBO PVC DB 6"</v>
          </cell>
        </row>
        <row r="620">
          <cell r="A620" t="str">
            <v>TUBO PVC EB 3"</v>
          </cell>
        </row>
        <row r="621">
          <cell r="A621" t="str">
            <v>TUBO PVC EB 4"</v>
          </cell>
        </row>
        <row r="622">
          <cell r="A622" t="str">
            <v>TUBO PVC TDP CORRUGADO 4"</v>
          </cell>
        </row>
        <row r="623">
          <cell r="A623" t="str">
            <v>TUBO PVC TDP CORRUGADO 6"</v>
          </cell>
        </row>
        <row r="624">
          <cell r="A624" t="str">
            <v>TUERCA OJO ALARGADO 1/2"</v>
          </cell>
        </row>
        <row r="625">
          <cell r="A625" t="str">
            <v>TUERCA OJO ALARGADO 3/4"</v>
          </cell>
        </row>
        <row r="626">
          <cell r="A626" t="str">
            <v>TUERCA OJO ALARGADO 5/8"</v>
          </cell>
        </row>
        <row r="627">
          <cell r="A627" t="str">
            <v>UNION EN EMT DE 1/2</v>
          </cell>
        </row>
        <row r="628">
          <cell r="A628" t="str">
            <v>UNION EN EMT DE 3/4</v>
          </cell>
        </row>
        <row r="629">
          <cell r="A629" t="str">
            <v>UNION METALICA GLAVANIZADA IMC 3/4"</v>
          </cell>
        </row>
        <row r="630">
          <cell r="A630" t="str">
            <v>VARILLA COPPERWELD DE  5/8 X 1,80</v>
          </cell>
        </row>
        <row r="631">
          <cell r="A631" t="str">
            <v>VARILLA COPPERWELD DE  5/8 X 2,40</v>
          </cell>
        </row>
        <row r="632">
          <cell r="A632" t="str">
            <v>VARILLA DE ANCLAJE DE 3/4 x 180 cm</v>
          </cell>
        </row>
        <row r="633">
          <cell r="A633" t="str">
            <v>VARILLA DE ANCLAJE DE 5/8 x 150 cm</v>
          </cell>
        </row>
        <row r="634">
          <cell r="A634" t="str">
            <v>VARILLA DE ANCLAJE DE 5/8 x 150 cm</v>
          </cell>
        </row>
        <row r="635">
          <cell r="A635" t="str">
            <v>VARILLA DE ANCLAJE DE 5/8 x 180 cm</v>
          </cell>
        </row>
        <row r="636">
          <cell r="A636" t="str">
            <v>VENTILADOR ABANICO 56" DE PARED ORIGINAL KDK</v>
          </cell>
        </row>
        <row r="637">
          <cell r="A637" t="str">
            <v>VIGA DE MADERA INMUNIZADA 2,5 m</v>
          </cell>
        </row>
        <row r="638">
          <cell r="A638" t="str">
            <v xml:space="preserve">VIGUETA DE ANCLAJE </v>
          </cell>
        </row>
        <row r="639">
          <cell r="A639" t="str">
            <v>CLAVIIJA DE CAUCHO POLO A TIERRA</v>
          </cell>
        </row>
        <row r="640">
          <cell r="A640" t="str">
            <v>TOMA TRIPOLAR (3x20/250)</v>
          </cell>
        </row>
        <row r="642">
          <cell r="A642" t="str">
            <v>Z</v>
          </cell>
        </row>
      </sheetData>
      <sheetData sheetId="3"/>
      <sheetData sheetId="4"/>
      <sheetData sheetId="5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 0"/>
      <sheetName val="PR 1"/>
      <sheetName val="PR 2"/>
      <sheetName val="PR 3"/>
      <sheetName val="PR 4"/>
      <sheetName val="PR 5"/>
      <sheetName val="PR 6"/>
      <sheetName val="PR 7"/>
      <sheetName val="PR 8"/>
      <sheetName val="PR 9"/>
      <sheetName val="PR 10"/>
      <sheetName val="PR 11"/>
      <sheetName val="PR 12"/>
      <sheetName val="PR 13"/>
      <sheetName val="PR 14"/>
      <sheetName val="PR 15"/>
      <sheetName val="PR 16"/>
      <sheetName val="PR 17"/>
      <sheetName val="PR18"/>
      <sheetName val="PR 19"/>
      <sheetName val="PR 20"/>
      <sheetName val="PR 21"/>
      <sheetName val="PR 22"/>
      <sheetName val="PR 23"/>
      <sheetName val="PR 24"/>
      <sheetName val="PR 25"/>
      <sheetName val="PR 26"/>
      <sheetName val="PR 27"/>
      <sheetName val="PR 28"/>
      <sheetName val="PR 29"/>
      <sheetName val="PR 30"/>
      <sheetName val="PR 31"/>
      <sheetName val="PR 32"/>
      <sheetName val="PR 33"/>
      <sheetName val="PR 34"/>
      <sheetName val="PR 35"/>
      <sheetName val="PR 36"/>
      <sheetName val="PR 37"/>
      <sheetName val="PR38"/>
      <sheetName val="PR 39"/>
      <sheetName val="PR 40"/>
      <sheetName val="PR 41"/>
      <sheetName val="PR 42"/>
      <sheetName val="PR 43"/>
      <sheetName val="PR 44"/>
      <sheetName val="PR 45"/>
      <sheetName val="PR 46"/>
      <sheetName val="PR 47"/>
      <sheetName val="PR 48"/>
      <sheetName val="PR 49"/>
      <sheetName val="Cuadro Estado"/>
    </sheetNames>
    <sheetDataSet>
      <sheetData sheetId="0"/>
      <sheetData sheetId="1" refreshError="1">
        <row r="2">
          <cell r="A2" t="str">
            <v>INVÍAS - TERRITORIAL CORDOBA - GRUPO 3</v>
          </cell>
        </row>
        <row r="4">
          <cell r="A4" t="str">
            <v>DETERMINACIÓN Y CALIFICACIÓN DEL ESTADO DE LA RED VIAL CON CRITERIOS TÉCNICOS (MARZO 2005)</v>
          </cell>
        </row>
        <row r="5">
          <cell r="A5" t="str">
            <v>Documento base: "Normas para la Determinación y Calificación del Estado de la Red Vial"(Revisión N° 1 - Febrero 2003) preparado por  INVÍAS - Subdirección de Conservación</v>
          </cell>
        </row>
        <row r="7">
          <cell r="A7" t="str">
            <v>SECCIÓN: PR 1</v>
          </cell>
        </row>
        <row r="9">
          <cell r="B9" t="str">
            <v>Nombre de la Ruta:</v>
          </cell>
          <cell r="C9" t="str">
            <v>Monteria - Lorica</v>
          </cell>
          <cell r="F9" t="str">
            <v>Longitud de calzada (m):</v>
          </cell>
          <cell r="I9">
            <v>947</v>
          </cell>
        </row>
        <row r="10">
          <cell r="B10" t="str">
            <v>Nombre del Tramo:</v>
          </cell>
          <cell r="C10" t="str">
            <v>Monteria - Cerete - Lorica</v>
          </cell>
          <cell r="F10" t="str">
            <v>Ancho promedio de calzada (m):</v>
          </cell>
          <cell r="I10">
            <v>6.8</v>
          </cell>
        </row>
        <row r="11">
          <cell r="B11" t="str">
            <v>Nombre del Sector:</v>
          </cell>
          <cell r="C11" t="str">
            <v>Monteria - Cerete - Lorica</v>
          </cell>
          <cell r="F11" t="str">
            <v>Longitud de berma (m):</v>
          </cell>
          <cell r="I11">
            <v>947</v>
          </cell>
        </row>
        <row r="12">
          <cell r="B12" t="str">
            <v>Código:</v>
          </cell>
          <cell r="C12">
            <v>2103</v>
          </cell>
          <cell r="F12" t="str">
            <v>Ancho promedio de las bermas (m):</v>
          </cell>
          <cell r="I12">
            <v>1.25</v>
          </cell>
        </row>
        <row r="14">
          <cell r="A14" t="str">
            <v>PARÁMETRO</v>
          </cell>
          <cell r="B14" t="str">
            <v>ELEMENTO</v>
          </cell>
          <cell r="C14" t="str">
            <v>Daño</v>
          </cell>
          <cell r="D14" t="str">
            <v>Área (m2)</v>
          </cell>
          <cell r="E14" t="str">
            <v>Parámetro</v>
          </cell>
          <cell r="G14" t="str">
            <v>Valor</v>
          </cell>
          <cell r="H14" t="str">
            <v>Calif. Parcial</v>
          </cell>
          <cell r="I14" t="str">
            <v>Peso Parcial</v>
          </cell>
          <cell r="J14" t="str">
            <v>Calif. Pond.</v>
          </cell>
        </row>
        <row r="15">
          <cell r="A15" t="str">
            <v>CORONA</v>
          </cell>
          <cell r="B15" t="str">
            <v>CALZADA</v>
          </cell>
          <cell r="C15" t="str">
            <v xml:space="preserve"> Baches (m²)</v>
          </cell>
          <cell r="D15">
            <v>0</v>
          </cell>
          <cell r="E15" t="str">
            <v>Área dañada (%)</v>
          </cell>
          <cell r="G15">
            <v>0</v>
          </cell>
          <cell r="H15">
            <v>5</v>
          </cell>
          <cell r="I15">
            <v>0.14000000000000001</v>
          </cell>
          <cell r="J15">
            <v>0.7</v>
          </cell>
        </row>
        <row r="16">
          <cell r="C16" t="str">
            <v xml:space="preserve"> Fisuras (m²)</v>
          </cell>
          <cell r="D16">
            <v>64.396000000000001</v>
          </cell>
          <cell r="E16" t="str">
            <v>Área dañada (%)</v>
          </cell>
          <cell r="G16">
            <v>1</v>
          </cell>
          <cell r="H16">
            <v>4.88</v>
          </cell>
          <cell r="I16">
            <v>7.0000000000000007E-2</v>
          </cell>
          <cell r="J16">
            <v>0.34</v>
          </cell>
        </row>
        <row r="17">
          <cell r="C17" t="str">
            <v xml:space="preserve"> Deformaciones (m²)</v>
          </cell>
          <cell r="D17">
            <v>65</v>
          </cell>
          <cell r="E17" t="str">
            <v>Área dañada (%)</v>
          </cell>
          <cell r="G17">
            <v>1.01</v>
          </cell>
          <cell r="H17">
            <v>4.75</v>
          </cell>
          <cell r="I17">
            <v>0.105</v>
          </cell>
          <cell r="J17">
            <v>0.5</v>
          </cell>
        </row>
        <row r="18">
          <cell r="C18" t="str">
            <v xml:space="preserve"> Desprendimientos (m²)</v>
          </cell>
          <cell r="D18">
            <v>0</v>
          </cell>
          <cell r="E18" t="str">
            <v>Área dañada (%)</v>
          </cell>
          <cell r="G18">
            <v>0</v>
          </cell>
          <cell r="H18">
            <v>5</v>
          </cell>
          <cell r="I18">
            <v>0.105</v>
          </cell>
          <cell r="J18">
            <v>0.53</v>
          </cell>
        </row>
        <row r="19">
          <cell r="C19" t="str">
            <v xml:space="preserve"> Ahuellamiento (mm)</v>
          </cell>
          <cell r="D19">
            <v>0</v>
          </cell>
          <cell r="E19" t="str">
            <v>Ahuellamiento prom. (mm)</v>
          </cell>
          <cell r="G19">
            <v>0</v>
          </cell>
          <cell r="H19">
            <v>5</v>
          </cell>
          <cell r="I19">
            <v>0.105</v>
          </cell>
          <cell r="J19">
            <v>0.53</v>
          </cell>
        </row>
        <row r="20">
          <cell r="C20" t="str">
            <v xml:space="preserve"> Otros daños (m²)</v>
          </cell>
          <cell r="D20">
            <v>0</v>
          </cell>
          <cell r="E20" t="str">
            <v>Área dañada (%)</v>
          </cell>
          <cell r="G20">
            <v>0</v>
          </cell>
          <cell r="H20">
            <v>5</v>
          </cell>
          <cell r="I20">
            <v>0.105</v>
          </cell>
          <cell r="J20">
            <v>0.53</v>
          </cell>
          <cell r="K20">
            <v>3.1300000000000008</v>
          </cell>
          <cell r="L20" t="str">
            <v>Bueno</v>
          </cell>
        </row>
        <row r="21">
          <cell r="B21" t="str">
            <v>BERMAS</v>
          </cell>
          <cell r="C21" t="str">
            <v xml:space="preserve"> Daños totales (m²)</v>
          </cell>
          <cell r="D21">
            <v>7</v>
          </cell>
          <cell r="E21" t="str">
            <v>Área dañada (%)</v>
          </cell>
          <cell r="G21">
            <v>0.59</v>
          </cell>
          <cell r="H21">
            <v>4.88</v>
          </cell>
          <cell r="I21">
            <v>7.0000000000000007E-2</v>
          </cell>
          <cell r="J21">
            <v>0.34</v>
          </cell>
          <cell r="K21">
            <v>0.34</v>
          </cell>
          <cell r="L21" t="str">
            <v>Bueno</v>
          </cell>
        </row>
        <row r="23">
          <cell r="A23" t="str">
            <v>PARÁMETRO</v>
          </cell>
          <cell r="B23" t="str">
            <v>ELEMENTO</v>
          </cell>
          <cell r="C23" t="str">
            <v>Cant. Requerida</v>
          </cell>
          <cell r="D23" t="str">
            <v>Criterio</v>
          </cell>
          <cell r="E23" t="str">
            <v>Cant. Buena</v>
          </cell>
          <cell r="F23" t="str">
            <v>Cant. Reg.</v>
          </cell>
          <cell r="G23" t="str">
            <v>Cant. Mala</v>
          </cell>
          <cell r="H23" t="str">
            <v>Calif. Parcial</v>
          </cell>
          <cell r="I23" t="str">
            <v>Peso Parcial</v>
          </cell>
          <cell r="J23" t="str">
            <v>Calif. Pond.</v>
          </cell>
        </row>
        <row r="24">
          <cell r="A24" t="str">
            <v>DRENAJE</v>
          </cell>
          <cell r="B24" t="str">
            <v>CUNETAS (m)</v>
          </cell>
          <cell r="C24">
            <v>0</v>
          </cell>
          <cell r="D24" t="str">
            <v>Funcionalidad</v>
          </cell>
          <cell r="E24">
            <v>0</v>
          </cell>
          <cell r="F24">
            <v>0</v>
          </cell>
          <cell r="G24">
            <v>0</v>
          </cell>
          <cell r="H24">
            <v>5</v>
          </cell>
          <cell r="I24">
            <v>3.125E-2</v>
          </cell>
          <cell r="J24">
            <v>0.16</v>
          </cell>
        </row>
        <row r="25">
          <cell r="D25" t="str">
            <v>Suficiencia</v>
          </cell>
          <cell r="E25" t="str">
            <v>No se requieren</v>
          </cell>
          <cell r="H25">
            <v>5</v>
          </cell>
          <cell r="I25">
            <v>2.5000000000000001E-2</v>
          </cell>
          <cell r="J25">
            <v>0.13</v>
          </cell>
          <cell r="K25">
            <v>0.29000000000000004</v>
          </cell>
          <cell r="L25">
            <v>0</v>
          </cell>
        </row>
        <row r="26">
          <cell r="B26" t="str">
            <v>ALCANTARILLAS (U)</v>
          </cell>
          <cell r="C26">
            <v>0</v>
          </cell>
          <cell r="D26" t="str">
            <v>Funcionalidad</v>
          </cell>
          <cell r="E26">
            <v>0</v>
          </cell>
          <cell r="F26">
            <v>0</v>
          </cell>
          <cell r="G26">
            <v>0</v>
          </cell>
          <cell r="H26">
            <v>5</v>
          </cell>
          <cell r="I26">
            <v>3.125E-2</v>
          </cell>
          <cell r="J26">
            <v>0.16</v>
          </cell>
        </row>
        <row r="27">
          <cell r="D27" t="str">
            <v>Suficiencia</v>
          </cell>
          <cell r="E27" t="str">
            <v>No se requieren</v>
          </cell>
          <cell r="H27">
            <v>5</v>
          </cell>
          <cell r="I27">
            <v>1.8749999999999999E-2</v>
          </cell>
          <cell r="J27">
            <v>0.09</v>
          </cell>
          <cell r="K27">
            <v>0.25</v>
          </cell>
          <cell r="L27">
            <v>0</v>
          </cell>
        </row>
        <row r="28">
          <cell r="B28" t="str">
            <v>PUENTES Y PONT.</v>
          </cell>
          <cell r="C28">
            <v>1</v>
          </cell>
          <cell r="D28" t="str">
            <v>Estado</v>
          </cell>
          <cell r="E28">
            <v>1</v>
          </cell>
          <cell r="F28">
            <v>0</v>
          </cell>
          <cell r="G28">
            <v>0</v>
          </cell>
          <cell r="H28">
            <v>5</v>
          </cell>
          <cell r="I28">
            <v>1.8749999999999999E-2</v>
          </cell>
          <cell r="J28">
            <v>0.09</v>
          </cell>
          <cell r="K28">
            <v>0.09</v>
          </cell>
          <cell r="L28" t="str">
            <v>Bueno</v>
          </cell>
        </row>
        <row r="30">
          <cell r="A30" t="str">
            <v>PARÁMETRO</v>
          </cell>
          <cell r="B30" t="str">
            <v>ELEMENTO</v>
          </cell>
          <cell r="C30" t="str">
            <v>Cant. Requerida</v>
          </cell>
          <cell r="D30" t="str">
            <v>Criterio</v>
          </cell>
          <cell r="E30" t="str">
            <v>Buenas</v>
          </cell>
          <cell r="F30" t="str">
            <v>Regulares</v>
          </cell>
          <cell r="G30" t="str">
            <v>Malas</v>
          </cell>
          <cell r="H30" t="str">
            <v>Calif. Parc.</v>
          </cell>
          <cell r="I30" t="str">
            <v>Peso Parcial</v>
          </cell>
          <cell r="J30" t="str">
            <v>Calif. Pond.</v>
          </cell>
        </row>
        <row r="31">
          <cell r="A31" t="str">
            <v>SEÑALIZACIÓN</v>
          </cell>
          <cell r="B31" t="str">
            <v>VERTICAL (U)</v>
          </cell>
          <cell r="C31">
            <v>10</v>
          </cell>
          <cell r="D31" t="str">
            <v>Estado</v>
          </cell>
          <cell r="E31">
            <v>10</v>
          </cell>
          <cell r="F31">
            <v>0</v>
          </cell>
          <cell r="G31">
            <v>0</v>
          </cell>
          <cell r="H31">
            <v>5</v>
          </cell>
          <cell r="I31">
            <v>2.5000000000000001E-2</v>
          </cell>
          <cell r="J31">
            <v>0.13</v>
          </cell>
        </row>
        <row r="32">
          <cell r="D32" t="str">
            <v>Suficiencia</v>
          </cell>
          <cell r="E32" t="str">
            <v>Si</v>
          </cell>
          <cell r="H32">
            <v>5</v>
          </cell>
          <cell r="I32">
            <v>2.5000000000000001E-2</v>
          </cell>
          <cell r="J32">
            <v>0.13</v>
          </cell>
          <cell r="K32">
            <v>0.26</v>
          </cell>
          <cell r="L32" t="str">
            <v>Bueno</v>
          </cell>
        </row>
        <row r="33">
          <cell r="B33" t="str">
            <v>HORIZONTAL (m)</v>
          </cell>
          <cell r="C33">
            <v>2841</v>
          </cell>
          <cell r="D33" t="str">
            <v>Estado</v>
          </cell>
          <cell r="E33">
            <v>0</v>
          </cell>
          <cell r="F33">
            <v>2841</v>
          </cell>
          <cell r="G33">
            <v>0</v>
          </cell>
          <cell r="H33">
            <v>2.5</v>
          </cell>
          <cell r="I33">
            <v>3.7499999999999999E-2</v>
          </cell>
          <cell r="J33">
            <v>0.09</v>
          </cell>
        </row>
        <row r="34">
          <cell r="D34" t="str">
            <v>Suficiencia</v>
          </cell>
          <cell r="E34" t="str">
            <v>Si</v>
          </cell>
          <cell r="H34">
            <v>5</v>
          </cell>
          <cell r="I34">
            <v>3.7499999999999999E-2</v>
          </cell>
          <cell r="J34">
            <v>0.19</v>
          </cell>
          <cell r="K34">
            <v>0.28000000000000003</v>
          </cell>
          <cell r="L34" t="str">
            <v>Regular</v>
          </cell>
        </row>
        <row r="36">
          <cell r="A36" t="str">
            <v>PARÁMETRO</v>
          </cell>
          <cell r="B36" t="str">
            <v>ELEMENTO</v>
          </cell>
          <cell r="C36" t="str">
            <v>Elemento</v>
          </cell>
          <cell r="E36" t="str">
            <v>Criterio</v>
          </cell>
          <cell r="H36" t="str">
            <v>Calif. Parcial</v>
          </cell>
          <cell r="I36" t="str">
            <v>Peso Parcial</v>
          </cell>
          <cell r="J36" t="str">
            <v>Calif. Pond.</v>
          </cell>
        </row>
        <row r="37">
          <cell r="A37" t="str">
            <v>ZONAS LATERALES</v>
          </cell>
          <cell r="C37" t="str">
            <v>Taludes Inestables (m):</v>
          </cell>
          <cell r="D37">
            <v>0</v>
          </cell>
          <cell r="E37" t="str">
            <v xml:space="preserve"> No existen</v>
          </cell>
          <cell r="H37">
            <v>5</v>
          </cell>
          <cell r="I37">
            <v>0.05</v>
          </cell>
          <cell r="J37">
            <v>0.25</v>
          </cell>
          <cell r="K37">
            <v>0.25</v>
          </cell>
          <cell r="L37" t="str">
            <v>Bueno</v>
          </cell>
        </row>
        <row r="39">
          <cell r="F39" t="str">
            <v>CALIFICACIÓN TOTAL DE LA SECCIÓN:</v>
          </cell>
          <cell r="J39">
            <v>4.8899999999999997</v>
          </cell>
        </row>
        <row r="40">
          <cell r="A40" t="str">
            <v>NOTA:</v>
          </cell>
          <cell r="B40" t="str">
            <v>El ingeniero sólo deberá introducir los datos requeridos para los campos en blanco. Lo demás lo calcula el programa.</v>
          </cell>
        </row>
        <row r="41">
          <cell r="G41" t="str">
            <v>ESTADO DE LA SECCIÓN:</v>
          </cell>
          <cell r="J41" t="str">
            <v>Bueno</v>
          </cell>
          <cell r="K41">
            <v>4.8900000000000006</v>
          </cell>
          <cell r="L41" t="str">
            <v>Bueno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"/>
      <sheetName val="resProyectos"/>
      <sheetName val="datos"/>
      <sheetName val="prsp"/>
      <sheetName val="PRESUPUESTO"/>
      <sheetName val="recursos"/>
      <sheetName val="1.1"/>
      <sheetName val="1.2"/>
      <sheetName val="1.2.1"/>
      <sheetName val="1.2.2"/>
      <sheetName val="2.6"/>
      <sheetName val="4.5.1"/>
      <sheetName val="2,8"/>
      <sheetName val="Hoja1"/>
    </sheetNames>
    <sheetDataSet>
      <sheetData sheetId="0"/>
      <sheetData sheetId="1"/>
      <sheetData sheetId="2"/>
      <sheetData sheetId="3"/>
      <sheetData sheetId="4">
        <row r="4">
          <cell r="B4">
            <v>1</v>
          </cell>
        </row>
        <row r="5">
          <cell r="B5">
            <v>1.1000000000000001</v>
          </cell>
        </row>
        <row r="6">
          <cell r="B6">
            <v>1.2</v>
          </cell>
        </row>
        <row r="7">
          <cell r="B7">
            <v>2</v>
          </cell>
        </row>
        <row r="8">
          <cell r="B8">
            <v>2.1</v>
          </cell>
        </row>
        <row r="9">
          <cell r="B9">
            <v>2.2000000000000002</v>
          </cell>
        </row>
        <row r="10">
          <cell r="B10">
            <v>2.2999999999999998</v>
          </cell>
        </row>
        <row r="11">
          <cell r="B11">
            <v>2.4</v>
          </cell>
        </row>
        <row r="12">
          <cell r="B12">
            <v>2.5</v>
          </cell>
        </row>
        <row r="13">
          <cell r="B13">
            <v>2.6</v>
          </cell>
        </row>
        <row r="14">
          <cell r="B14">
            <v>2.7</v>
          </cell>
        </row>
        <row r="15">
          <cell r="B15">
            <v>2.8</v>
          </cell>
        </row>
        <row r="16">
          <cell r="B16">
            <v>3</v>
          </cell>
        </row>
        <row r="17">
          <cell r="B17">
            <v>3.1</v>
          </cell>
        </row>
        <row r="18">
          <cell r="B18">
            <v>3.2</v>
          </cell>
        </row>
        <row r="19">
          <cell r="B19">
            <v>3.3</v>
          </cell>
        </row>
        <row r="20">
          <cell r="B20">
            <v>3.4</v>
          </cell>
        </row>
        <row r="21">
          <cell r="B21">
            <v>3.5</v>
          </cell>
        </row>
        <row r="22">
          <cell r="B22">
            <v>3.6</v>
          </cell>
        </row>
        <row r="23">
          <cell r="B23">
            <v>3.7</v>
          </cell>
        </row>
        <row r="24">
          <cell r="B24">
            <v>3.8</v>
          </cell>
        </row>
        <row r="25">
          <cell r="B25">
            <v>4</v>
          </cell>
        </row>
        <row r="26">
          <cell r="B26">
            <v>4.0999999999999996</v>
          </cell>
        </row>
        <row r="27">
          <cell r="B27" t="str">
            <v>4.1.1</v>
          </cell>
        </row>
        <row r="28">
          <cell r="B28" t="str">
            <v>4.1.2</v>
          </cell>
        </row>
        <row r="29">
          <cell r="B29" t="str">
            <v>4.1.3</v>
          </cell>
        </row>
        <row r="30">
          <cell r="B30" t="str">
            <v>4.1.4</v>
          </cell>
        </row>
        <row r="31">
          <cell r="B31" t="str">
            <v>4.1.5</v>
          </cell>
        </row>
        <row r="32">
          <cell r="B32" t="str">
            <v>4.1.6</v>
          </cell>
        </row>
        <row r="33">
          <cell r="B33" t="str">
            <v>4.1.7</v>
          </cell>
        </row>
        <row r="34">
          <cell r="B34">
            <v>4.2</v>
          </cell>
        </row>
        <row r="35">
          <cell r="B35" t="str">
            <v>4.2.1</v>
          </cell>
        </row>
        <row r="36">
          <cell r="B36" t="str">
            <v>4.2.2</v>
          </cell>
        </row>
        <row r="37">
          <cell r="B37" t="str">
            <v>4.2.3</v>
          </cell>
        </row>
        <row r="38">
          <cell r="B38" t="str">
            <v>4.2.4</v>
          </cell>
        </row>
        <row r="39">
          <cell r="B39" t="str">
            <v>4.2.5</v>
          </cell>
        </row>
        <row r="40">
          <cell r="B40" t="str">
            <v>4.2.6</v>
          </cell>
        </row>
        <row r="41">
          <cell r="B41" t="str">
            <v>4.2.7</v>
          </cell>
        </row>
        <row r="42">
          <cell r="B42" t="str">
            <v>4.2.8</v>
          </cell>
        </row>
        <row r="43">
          <cell r="B43" t="str">
            <v>4.3</v>
          </cell>
        </row>
        <row r="44">
          <cell r="B44" t="str">
            <v>4.3.1</v>
          </cell>
        </row>
        <row r="45">
          <cell r="B45" t="str">
            <v>4.3.2</v>
          </cell>
        </row>
        <row r="46">
          <cell r="B46" t="str">
            <v>4.3.3</v>
          </cell>
        </row>
        <row r="47">
          <cell r="B47">
            <v>4.4000000000000004</v>
          </cell>
        </row>
        <row r="48">
          <cell r="B48" t="str">
            <v>4.4.1</v>
          </cell>
        </row>
        <row r="49">
          <cell r="B49" t="str">
            <v>4.4.2</v>
          </cell>
        </row>
        <row r="50">
          <cell r="B50" t="str">
            <v>4.4.3</v>
          </cell>
        </row>
        <row r="51">
          <cell r="B51" t="str">
            <v>4.4.4</v>
          </cell>
        </row>
        <row r="52">
          <cell r="B52" t="str">
            <v>4.4.5</v>
          </cell>
        </row>
        <row r="53">
          <cell r="B53" t="str">
            <v>4.5</v>
          </cell>
        </row>
        <row r="54">
          <cell r="B54" t="str">
            <v>4.5.1</v>
          </cell>
        </row>
        <row r="55">
          <cell r="B55" t="str">
            <v>4.5.2</v>
          </cell>
        </row>
        <row r="56">
          <cell r="B56" t="str">
            <v>4.5.3</v>
          </cell>
        </row>
        <row r="57">
          <cell r="B57" t="str">
            <v>4.6</v>
          </cell>
        </row>
        <row r="58">
          <cell r="B58" t="str">
            <v>4.6.1</v>
          </cell>
        </row>
        <row r="59">
          <cell r="B59" t="str">
            <v>4.7</v>
          </cell>
        </row>
        <row r="60">
          <cell r="B60" t="str">
            <v>4.7.1</v>
          </cell>
        </row>
        <row r="61">
          <cell r="B61" t="str">
            <v>4.7.2</v>
          </cell>
        </row>
        <row r="62">
          <cell r="B62" t="str">
            <v>4.7.3</v>
          </cell>
        </row>
        <row r="63">
          <cell r="B63" t="str">
            <v>4.7.4</v>
          </cell>
        </row>
        <row r="64">
          <cell r="B64" t="str">
            <v>4.8</v>
          </cell>
        </row>
        <row r="65">
          <cell r="B65" t="str">
            <v>4.8.1</v>
          </cell>
        </row>
        <row r="66">
          <cell r="B66" t="str">
            <v>4.8.2</v>
          </cell>
        </row>
        <row r="67">
          <cell r="B67" t="str">
            <v>4.8.3</v>
          </cell>
        </row>
        <row r="68">
          <cell r="B68" t="str">
            <v>4.8.4</v>
          </cell>
        </row>
        <row r="69">
          <cell r="B69" t="str">
            <v>4.8.5</v>
          </cell>
        </row>
        <row r="70">
          <cell r="B70" t="str">
            <v>4.9</v>
          </cell>
        </row>
        <row r="71">
          <cell r="B71" t="str">
            <v>4.9.1</v>
          </cell>
        </row>
        <row r="72">
          <cell r="B72" t="str">
            <v>4.9.2</v>
          </cell>
        </row>
        <row r="73">
          <cell r="B73" t="str">
            <v>4.9.3</v>
          </cell>
        </row>
        <row r="74">
          <cell r="B74" t="str">
            <v>4.9.4</v>
          </cell>
        </row>
        <row r="75">
          <cell r="B75" t="str">
            <v>4.10</v>
          </cell>
        </row>
        <row r="76">
          <cell r="B76" t="str">
            <v>4.10.1</v>
          </cell>
        </row>
        <row r="77">
          <cell r="B77">
            <v>0</v>
          </cell>
        </row>
      </sheetData>
      <sheetData sheetId="5">
        <row r="3">
          <cell r="A3" t="str">
            <v>MATERIALES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 PRESUPUESTO GENERAL DE OBRA"/>
      <sheetName val="2. AIU OBRA"/>
      <sheetName val="3. F. PRESTACIONAL"/>
      <sheetName val="4. Analisis de Precios Auxiliar"/>
      <sheetName val="5.Analisis de Precios Unitarios"/>
      <sheetName val="6. FM"/>
      <sheetName val="7. INTERV"/>
      <sheetName val="8. Lista de Insumos"/>
      <sheetName val="9. Memoria Cantidades"/>
      <sheetName val="Acero Pilotes"/>
      <sheetName val="Acero Estructura"/>
      <sheetName val="10. Doscificación cctos"/>
    </sheetNames>
    <sheetDataSet>
      <sheetData sheetId="0">
        <row r="5">
          <cell r="F5">
            <v>43434</v>
          </cell>
        </row>
      </sheetData>
      <sheetData sheetId="1" refreshError="1"/>
      <sheetData sheetId="2">
        <row r="32">
          <cell r="F32">
            <v>0.85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8">
          <cell r="B8" t="str">
            <v>Tela cerramiento obra verde, ancho: 2.10 m.</v>
          </cell>
          <cell r="C8" t="str">
            <v>m</v>
          </cell>
          <cell r="D8">
            <v>4600</v>
          </cell>
        </row>
        <row r="9">
          <cell r="B9" t="str">
            <v>Taco madera de 3.0m</v>
          </cell>
          <cell r="C9" t="str">
            <v>un</v>
          </cell>
          <cell r="D9">
            <v>6500</v>
          </cell>
        </row>
        <row r="10">
          <cell r="B10" t="str">
            <v>Clavo común de 1"</v>
          </cell>
          <cell r="C10" t="str">
            <v>lb</v>
          </cell>
          <cell r="D10">
            <v>3500</v>
          </cell>
        </row>
        <row r="11">
          <cell r="B11" t="str">
            <v>Derecho de Escombrera</v>
          </cell>
          <cell r="C11" t="str">
            <v>m3</v>
          </cell>
          <cell r="D11">
            <v>5000</v>
          </cell>
        </row>
        <row r="12">
          <cell r="B12" t="str">
            <v xml:space="preserve">Bentonita (lodo) </v>
          </cell>
          <cell r="C12" t="str">
            <v>kg</v>
          </cell>
          <cell r="D12">
            <v>12500</v>
          </cell>
        </row>
        <row r="13">
          <cell r="B13" t="str">
            <v>Material Seleccionado para relleno estructural</v>
          </cell>
          <cell r="C13" t="str">
            <v>m3</v>
          </cell>
          <cell r="D13">
            <v>80000</v>
          </cell>
        </row>
        <row r="14">
          <cell r="B14" t="str">
            <v>Agregado Grueso para Concretos</v>
          </cell>
          <cell r="C14" t="str">
            <v>m3</v>
          </cell>
          <cell r="D14">
            <v>130000</v>
          </cell>
        </row>
        <row r="15">
          <cell r="B15" t="str">
            <v>Agregano Fino para Concretos</v>
          </cell>
          <cell r="C15" t="str">
            <v>m3</v>
          </cell>
          <cell r="D15">
            <v>130000</v>
          </cell>
        </row>
        <row r="16">
          <cell r="B16" t="str">
            <v>Cemento de Uso General Tipo 1</v>
          </cell>
          <cell r="C16" t="str">
            <v>kg</v>
          </cell>
          <cell r="D16">
            <v>700</v>
          </cell>
        </row>
        <row r="17">
          <cell r="B17" t="str">
            <v xml:space="preserve">Agua </v>
          </cell>
          <cell r="C17" t="str">
            <v>lt</v>
          </cell>
          <cell r="D17">
            <v>50</v>
          </cell>
        </row>
        <row r="18">
          <cell r="B18">
            <v>0</v>
          </cell>
          <cell r="C18">
            <v>0</v>
          </cell>
          <cell r="D18">
            <v>0</v>
          </cell>
        </row>
        <row r="19">
          <cell r="B19" t="str">
            <v>Concreto de 17.5 Mpa (2500 psi)</v>
          </cell>
          <cell r="C19" t="str">
            <v>m3</v>
          </cell>
          <cell r="D19">
            <v>492994</v>
          </cell>
        </row>
        <row r="20">
          <cell r="B20" t="str">
            <v>Concreto de 28 Mpa (4000 psi) tipo Tremie</v>
          </cell>
          <cell r="C20" t="str">
            <v>m3</v>
          </cell>
          <cell r="D20">
            <v>573823</v>
          </cell>
        </row>
        <row r="21">
          <cell r="B21" t="str">
            <v>Concreto de 28 Mpa (4000 psi)</v>
          </cell>
          <cell r="C21" t="str">
            <v>m3</v>
          </cell>
          <cell r="D21">
            <v>566724</v>
          </cell>
        </row>
        <row r="22">
          <cell r="B22">
            <v>0</v>
          </cell>
          <cell r="C22">
            <v>0</v>
          </cell>
          <cell r="D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</row>
        <row r="35">
          <cell r="B35" t="str">
            <v>Tabla madera Común 3m</v>
          </cell>
          <cell r="C35" t="str">
            <v>Doc</v>
          </cell>
          <cell r="D35">
            <v>160000</v>
          </cell>
        </row>
        <row r="36">
          <cell r="B36" t="str">
            <v>Cubierta en lamina de zinc, incluye lámina, largueros, fijaciones</v>
          </cell>
          <cell r="C36" t="str">
            <v>m2</v>
          </cell>
          <cell r="D36">
            <v>24000</v>
          </cell>
        </row>
        <row r="37">
          <cell r="B37" t="str">
            <v>Puerta 0.2 x 2.05 en madera comun, incluye marco y cerradura</v>
          </cell>
          <cell r="C37" t="str">
            <v>Und</v>
          </cell>
          <cell r="D37">
            <v>220000</v>
          </cell>
        </row>
        <row r="38">
          <cell r="B38" t="str">
            <v>Sistema Electrico, voz y datos Provisional</v>
          </cell>
          <cell r="C38" t="str">
            <v>Und</v>
          </cell>
          <cell r="D38">
            <v>12450000</v>
          </cell>
        </row>
        <row r="39">
          <cell r="B39" t="str">
            <v>Sistema Hidrosanitario Provisional</v>
          </cell>
          <cell r="C39" t="str">
            <v>Und</v>
          </cell>
          <cell r="D39">
            <v>4650000</v>
          </cell>
        </row>
        <row r="40">
          <cell r="B40" t="str">
            <v>Suministro e Instalación de Sanitarios</v>
          </cell>
          <cell r="C40" t="str">
            <v>Und</v>
          </cell>
          <cell r="D40">
            <v>270000</v>
          </cell>
        </row>
        <row r="41">
          <cell r="B41" t="str">
            <v>Suministro e Instalación de Lavamanos</v>
          </cell>
          <cell r="C41" t="str">
            <v>Und</v>
          </cell>
          <cell r="D41">
            <v>185000</v>
          </cell>
        </row>
        <row r="42">
          <cell r="B42" t="str">
            <v>Separador o ruedas centradoras.</v>
          </cell>
          <cell r="C42" t="str">
            <v>Und</v>
          </cell>
          <cell r="D42">
            <v>9500</v>
          </cell>
        </row>
        <row r="43">
          <cell r="B43">
            <v>0</v>
          </cell>
          <cell r="C43">
            <v>0</v>
          </cell>
          <cell r="D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</row>
        <row r="47">
          <cell r="B47" t="str">
            <v>Tubo bajante All pvc 2"</v>
          </cell>
          <cell r="C47" t="str">
            <v>ml</v>
          </cell>
          <cell r="D47">
            <v>12500</v>
          </cell>
        </row>
        <row r="48">
          <cell r="B48">
            <v>0</v>
          </cell>
          <cell r="C48">
            <v>0</v>
          </cell>
          <cell r="D48">
            <v>0</v>
          </cell>
        </row>
        <row r="49">
          <cell r="B49" t="str">
            <v>Camisa de Acero 1/2" no recuperable D=1,5m</v>
          </cell>
          <cell r="C49" t="str">
            <v>ml</v>
          </cell>
          <cell r="D49">
            <v>490000</v>
          </cell>
        </row>
        <row r="50">
          <cell r="B50">
            <v>0</v>
          </cell>
          <cell r="C50">
            <v>0</v>
          </cell>
          <cell r="D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</row>
        <row r="52">
          <cell r="B52" t="str">
            <v>Aditivo SIKA Plastiment AD 30</v>
          </cell>
          <cell r="C52" t="str">
            <v>Lt</v>
          </cell>
          <cell r="D52">
            <v>5800</v>
          </cell>
        </row>
        <row r="53">
          <cell r="B53">
            <v>0</v>
          </cell>
          <cell r="C53">
            <v>0</v>
          </cell>
          <cell r="D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</row>
        <row r="55">
          <cell r="B55">
            <v>0</v>
          </cell>
          <cell r="C55">
            <v>0</v>
          </cell>
          <cell r="D55">
            <v>0</v>
          </cell>
        </row>
        <row r="56">
          <cell r="B56">
            <v>0</v>
          </cell>
          <cell r="C56">
            <v>0</v>
          </cell>
          <cell r="D56">
            <v>0</v>
          </cell>
        </row>
        <row r="57">
          <cell r="B57">
            <v>0</v>
          </cell>
          <cell r="C57">
            <v>0</v>
          </cell>
          <cell r="D57">
            <v>0</v>
          </cell>
        </row>
        <row r="58">
          <cell r="B58">
            <v>0</v>
          </cell>
          <cell r="C58">
            <v>0</v>
          </cell>
          <cell r="D58">
            <v>0</v>
          </cell>
        </row>
        <row r="59">
          <cell r="B59">
            <v>0</v>
          </cell>
          <cell r="C59">
            <v>0</v>
          </cell>
          <cell r="D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</row>
        <row r="61">
          <cell r="B61">
            <v>0</v>
          </cell>
          <cell r="C61">
            <v>0</v>
          </cell>
          <cell r="D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</row>
        <row r="65">
          <cell r="B65">
            <v>0</v>
          </cell>
          <cell r="C65">
            <v>0</v>
          </cell>
          <cell r="D65">
            <v>0</v>
          </cell>
        </row>
        <row r="66">
          <cell r="B66">
            <v>0</v>
          </cell>
          <cell r="C66">
            <v>0</v>
          </cell>
          <cell r="D66">
            <v>0</v>
          </cell>
        </row>
        <row r="67">
          <cell r="B67">
            <v>0</v>
          </cell>
          <cell r="C67">
            <v>0</v>
          </cell>
          <cell r="D67">
            <v>0</v>
          </cell>
        </row>
        <row r="68">
          <cell r="B68">
            <v>0</v>
          </cell>
          <cell r="C68">
            <v>0</v>
          </cell>
          <cell r="D68">
            <v>0</v>
          </cell>
        </row>
        <row r="69">
          <cell r="B69">
            <v>0</v>
          </cell>
          <cell r="C69">
            <v>0</v>
          </cell>
          <cell r="D69">
            <v>0</v>
          </cell>
        </row>
        <row r="70">
          <cell r="B70">
            <v>0</v>
          </cell>
          <cell r="C70">
            <v>0</v>
          </cell>
          <cell r="D70">
            <v>0</v>
          </cell>
        </row>
        <row r="71">
          <cell r="B71">
            <v>0</v>
          </cell>
          <cell r="C71">
            <v>0</v>
          </cell>
          <cell r="D71">
            <v>0</v>
          </cell>
        </row>
        <row r="72">
          <cell r="B72">
            <v>0</v>
          </cell>
          <cell r="C72">
            <v>0</v>
          </cell>
          <cell r="D72">
            <v>0</v>
          </cell>
        </row>
        <row r="73">
          <cell r="B73">
            <v>0</v>
          </cell>
          <cell r="C73">
            <v>0</v>
          </cell>
          <cell r="D73">
            <v>0</v>
          </cell>
        </row>
        <row r="74">
          <cell r="B74">
            <v>0</v>
          </cell>
          <cell r="C74">
            <v>0</v>
          </cell>
          <cell r="D74">
            <v>0</v>
          </cell>
        </row>
        <row r="75">
          <cell r="B75">
            <v>0</v>
          </cell>
          <cell r="C75">
            <v>0</v>
          </cell>
          <cell r="D75">
            <v>0</v>
          </cell>
        </row>
        <row r="76">
          <cell r="B76">
            <v>0</v>
          </cell>
          <cell r="C76">
            <v>0</v>
          </cell>
          <cell r="D76">
            <v>0</v>
          </cell>
        </row>
        <row r="77">
          <cell r="B77">
            <v>0</v>
          </cell>
          <cell r="C77">
            <v>0</v>
          </cell>
          <cell r="D77">
            <v>0</v>
          </cell>
        </row>
        <row r="78">
          <cell r="B78">
            <v>0</v>
          </cell>
          <cell r="C78">
            <v>0</v>
          </cell>
          <cell r="D78">
            <v>0</v>
          </cell>
        </row>
        <row r="79">
          <cell r="B79">
            <v>0</v>
          </cell>
          <cell r="C79">
            <v>0</v>
          </cell>
          <cell r="D79">
            <v>0</v>
          </cell>
        </row>
        <row r="80">
          <cell r="B80">
            <v>0</v>
          </cell>
          <cell r="C80">
            <v>0</v>
          </cell>
          <cell r="D80">
            <v>0</v>
          </cell>
        </row>
        <row r="81">
          <cell r="B81">
            <v>0</v>
          </cell>
          <cell r="C81">
            <v>0</v>
          </cell>
          <cell r="D81">
            <v>0</v>
          </cell>
        </row>
        <row r="82">
          <cell r="B82">
            <v>0</v>
          </cell>
          <cell r="C82">
            <v>0</v>
          </cell>
          <cell r="D82">
            <v>0</v>
          </cell>
        </row>
        <row r="83">
          <cell r="B83">
            <v>0</v>
          </cell>
          <cell r="C83">
            <v>0</v>
          </cell>
          <cell r="D83">
            <v>0</v>
          </cell>
        </row>
        <row r="84">
          <cell r="B84">
            <v>0</v>
          </cell>
          <cell r="C84">
            <v>0</v>
          </cell>
          <cell r="D84">
            <v>0</v>
          </cell>
        </row>
        <row r="85">
          <cell r="B85">
            <v>0</v>
          </cell>
          <cell r="C85">
            <v>0</v>
          </cell>
          <cell r="D85">
            <v>0</v>
          </cell>
        </row>
        <row r="86">
          <cell r="B86">
            <v>0</v>
          </cell>
          <cell r="C86">
            <v>0</v>
          </cell>
          <cell r="D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</row>
        <row r="88">
          <cell r="B88">
            <v>0</v>
          </cell>
          <cell r="C88">
            <v>0</v>
          </cell>
          <cell r="D88">
            <v>0</v>
          </cell>
        </row>
        <row r="89">
          <cell r="B89">
            <v>0</v>
          </cell>
          <cell r="C89">
            <v>0</v>
          </cell>
          <cell r="D89">
            <v>0</v>
          </cell>
        </row>
        <row r="90">
          <cell r="B90">
            <v>0</v>
          </cell>
          <cell r="C90">
            <v>0</v>
          </cell>
          <cell r="D90">
            <v>0</v>
          </cell>
        </row>
        <row r="91">
          <cell r="B91">
            <v>0</v>
          </cell>
          <cell r="C91">
            <v>0</v>
          </cell>
          <cell r="D91">
            <v>0</v>
          </cell>
        </row>
        <row r="92">
          <cell r="B92">
            <v>0</v>
          </cell>
          <cell r="C92">
            <v>0</v>
          </cell>
          <cell r="D92">
            <v>0</v>
          </cell>
        </row>
        <row r="93">
          <cell r="B93">
            <v>0</v>
          </cell>
          <cell r="C93">
            <v>0</v>
          </cell>
          <cell r="D93">
            <v>0</v>
          </cell>
        </row>
        <row r="94">
          <cell r="B94">
            <v>0</v>
          </cell>
          <cell r="C94">
            <v>0</v>
          </cell>
          <cell r="D94">
            <v>0</v>
          </cell>
        </row>
        <row r="95">
          <cell r="B95">
            <v>0</v>
          </cell>
          <cell r="C95">
            <v>0</v>
          </cell>
          <cell r="D95">
            <v>0</v>
          </cell>
        </row>
        <row r="96">
          <cell r="B96">
            <v>0</v>
          </cell>
          <cell r="C96">
            <v>0</v>
          </cell>
          <cell r="D96">
            <v>0</v>
          </cell>
        </row>
        <row r="97">
          <cell r="B97">
            <v>0</v>
          </cell>
          <cell r="C97">
            <v>0</v>
          </cell>
          <cell r="D97">
            <v>0</v>
          </cell>
        </row>
        <row r="98">
          <cell r="B98">
            <v>0</v>
          </cell>
          <cell r="C98">
            <v>0</v>
          </cell>
          <cell r="D98">
            <v>0</v>
          </cell>
        </row>
        <row r="99">
          <cell r="B99">
            <v>0</v>
          </cell>
          <cell r="C99">
            <v>0</v>
          </cell>
          <cell r="D99">
            <v>0</v>
          </cell>
        </row>
        <row r="100">
          <cell r="B100">
            <v>0</v>
          </cell>
          <cell r="C100">
            <v>0</v>
          </cell>
          <cell r="D100">
            <v>0</v>
          </cell>
        </row>
        <row r="101">
          <cell r="B101">
            <v>0</v>
          </cell>
          <cell r="C101">
            <v>0</v>
          </cell>
          <cell r="D101">
            <v>0</v>
          </cell>
        </row>
        <row r="102">
          <cell r="B102">
            <v>0</v>
          </cell>
          <cell r="C102">
            <v>0</v>
          </cell>
          <cell r="D102">
            <v>0</v>
          </cell>
        </row>
        <row r="103">
          <cell r="B103">
            <v>0</v>
          </cell>
          <cell r="C103">
            <v>0</v>
          </cell>
          <cell r="D103">
            <v>0</v>
          </cell>
        </row>
        <row r="104">
          <cell r="B104">
            <v>0</v>
          </cell>
          <cell r="C104">
            <v>0</v>
          </cell>
          <cell r="D104">
            <v>0</v>
          </cell>
        </row>
        <row r="105">
          <cell r="B105">
            <v>0</v>
          </cell>
          <cell r="C105">
            <v>0</v>
          </cell>
          <cell r="D105">
            <v>0</v>
          </cell>
        </row>
        <row r="106">
          <cell r="B106">
            <v>0</v>
          </cell>
          <cell r="C106">
            <v>0</v>
          </cell>
          <cell r="D106">
            <v>0</v>
          </cell>
        </row>
        <row r="107">
          <cell r="B107">
            <v>0</v>
          </cell>
          <cell r="C107">
            <v>0</v>
          </cell>
          <cell r="D107">
            <v>0</v>
          </cell>
        </row>
        <row r="108">
          <cell r="B108">
            <v>0</v>
          </cell>
          <cell r="C108">
            <v>0</v>
          </cell>
          <cell r="D108">
            <v>0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</row>
        <row r="113">
          <cell r="B113">
            <v>0</v>
          </cell>
          <cell r="C113">
            <v>0</v>
          </cell>
          <cell r="D113">
            <v>0</v>
          </cell>
        </row>
        <row r="114">
          <cell r="B114">
            <v>0</v>
          </cell>
          <cell r="C114">
            <v>0</v>
          </cell>
          <cell r="D114">
            <v>0</v>
          </cell>
        </row>
        <row r="115">
          <cell r="B115">
            <v>0</v>
          </cell>
          <cell r="C115">
            <v>0</v>
          </cell>
          <cell r="D115">
            <v>0</v>
          </cell>
        </row>
        <row r="116">
          <cell r="B116">
            <v>0</v>
          </cell>
          <cell r="C116">
            <v>0</v>
          </cell>
          <cell r="D116">
            <v>0</v>
          </cell>
        </row>
        <row r="117">
          <cell r="B117">
            <v>0</v>
          </cell>
          <cell r="C117">
            <v>0</v>
          </cell>
          <cell r="D117">
            <v>0</v>
          </cell>
        </row>
        <row r="118">
          <cell r="B118">
            <v>0</v>
          </cell>
          <cell r="C118">
            <v>0</v>
          </cell>
          <cell r="D118">
            <v>0</v>
          </cell>
        </row>
        <row r="119">
          <cell r="B119">
            <v>0</v>
          </cell>
          <cell r="C119">
            <v>0</v>
          </cell>
          <cell r="D119">
            <v>0</v>
          </cell>
        </row>
        <row r="120">
          <cell r="B120">
            <v>0</v>
          </cell>
          <cell r="C120">
            <v>0</v>
          </cell>
          <cell r="D120">
            <v>0</v>
          </cell>
        </row>
        <row r="121">
          <cell r="B121">
            <v>0</v>
          </cell>
          <cell r="C121">
            <v>0</v>
          </cell>
          <cell r="D121">
            <v>0</v>
          </cell>
        </row>
        <row r="122">
          <cell r="B122">
            <v>0</v>
          </cell>
          <cell r="C122">
            <v>0</v>
          </cell>
          <cell r="D122">
            <v>0</v>
          </cell>
        </row>
        <row r="123">
          <cell r="B123">
            <v>0</v>
          </cell>
          <cell r="C123">
            <v>0</v>
          </cell>
          <cell r="D123">
            <v>0</v>
          </cell>
        </row>
        <row r="124">
          <cell r="B124">
            <v>0</v>
          </cell>
          <cell r="C124">
            <v>0</v>
          </cell>
          <cell r="D124">
            <v>0</v>
          </cell>
        </row>
        <row r="125">
          <cell r="B125">
            <v>0</v>
          </cell>
          <cell r="C125">
            <v>0</v>
          </cell>
          <cell r="D125">
            <v>0</v>
          </cell>
        </row>
        <row r="126">
          <cell r="B126">
            <v>0</v>
          </cell>
          <cell r="C126">
            <v>0</v>
          </cell>
          <cell r="D126">
            <v>0</v>
          </cell>
        </row>
        <row r="127">
          <cell r="B127">
            <v>0</v>
          </cell>
          <cell r="C127">
            <v>0</v>
          </cell>
          <cell r="D127">
            <v>0</v>
          </cell>
        </row>
        <row r="128">
          <cell r="B128">
            <v>0</v>
          </cell>
          <cell r="C128">
            <v>0</v>
          </cell>
          <cell r="D128">
            <v>0</v>
          </cell>
        </row>
        <row r="129">
          <cell r="B129">
            <v>0</v>
          </cell>
          <cell r="C129">
            <v>0</v>
          </cell>
          <cell r="D129">
            <v>0</v>
          </cell>
        </row>
        <row r="130">
          <cell r="B130">
            <v>0</v>
          </cell>
          <cell r="C130">
            <v>0</v>
          </cell>
          <cell r="D130">
            <v>0</v>
          </cell>
        </row>
        <row r="131">
          <cell r="B131">
            <v>0</v>
          </cell>
          <cell r="C131">
            <v>0</v>
          </cell>
          <cell r="D131">
            <v>0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</row>
        <row r="134">
          <cell r="B134">
            <v>0</v>
          </cell>
          <cell r="C134">
            <v>0</v>
          </cell>
          <cell r="D134">
            <v>0</v>
          </cell>
        </row>
        <row r="135">
          <cell r="B135">
            <v>0</v>
          </cell>
          <cell r="C135">
            <v>0</v>
          </cell>
          <cell r="D135">
            <v>0</v>
          </cell>
        </row>
        <row r="136">
          <cell r="B136">
            <v>0</v>
          </cell>
          <cell r="C136">
            <v>0</v>
          </cell>
          <cell r="D136">
            <v>0</v>
          </cell>
        </row>
        <row r="137">
          <cell r="B137">
            <v>0</v>
          </cell>
          <cell r="C137">
            <v>0</v>
          </cell>
          <cell r="D137">
            <v>0</v>
          </cell>
        </row>
        <row r="138">
          <cell r="B138">
            <v>0</v>
          </cell>
          <cell r="C138">
            <v>0</v>
          </cell>
          <cell r="D138">
            <v>0</v>
          </cell>
        </row>
        <row r="139">
          <cell r="B139">
            <v>0</v>
          </cell>
          <cell r="C139">
            <v>0</v>
          </cell>
          <cell r="D139">
            <v>0</v>
          </cell>
        </row>
        <row r="140">
          <cell r="B140">
            <v>0</v>
          </cell>
          <cell r="C140">
            <v>0</v>
          </cell>
          <cell r="D140">
            <v>0</v>
          </cell>
        </row>
        <row r="141">
          <cell r="B141">
            <v>0</v>
          </cell>
          <cell r="C141">
            <v>0</v>
          </cell>
          <cell r="D141">
            <v>0</v>
          </cell>
        </row>
        <row r="142">
          <cell r="B142">
            <v>0</v>
          </cell>
          <cell r="C142">
            <v>0</v>
          </cell>
          <cell r="D142">
            <v>0</v>
          </cell>
        </row>
        <row r="143">
          <cell r="B143">
            <v>0</v>
          </cell>
          <cell r="C143">
            <v>0</v>
          </cell>
          <cell r="D143">
            <v>0</v>
          </cell>
        </row>
        <row r="144">
          <cell r="B144">
            <v>0</v>
          </cell>
          <cell r="C144">
            <v>0</v>
          </cell>
          <cell r="D144">
            <v>0</v>
          </cell>
        </row>
        <row r="145">
          <cell r="B145">
            <v>0</v>
          </cell>
          <cell r="C145">
            <v>0</v>
          </cell>
          <cell r="D145">
            <v>0</v>
          </cell>
        </row>
        <row r="146">
          <cell r="B146">
            <v>0</v>
          </cell>
          <cell r="C146">
            <v>0</v>
          </cell>
          <cell r="D146">
            <v>0</v>
          </cell>
        </row>
        <row r="147">
          <cell r="B147">
            <v>0</v>
          </cell>
          <cell r="C147">
            <v>0</v>
          </cell>
          <cell r="D147">
            <v>0</v>
          </cell>
        </row>
        <row r="148">
          <cell r="B148">
            <v>0</v>
          </cell>
          <cell r="C148">
            <v>0</v>
          </cell>
          <cell r="D148">
            <v>0</v>
          </cell>
        </row>
        <row r="149">
          <cell r="B149">
            <v>0</v>
          </cell>
          <cell r="C149">
            <v>0</v>
          </cell>
          <cell r="D149">
            <v>0</v>
          </cell>
        </row>
        <row r="150">
          <cell r="B150">
            <v>0</v>
          </cell>
          <cell r="C150">
            <v>0</v>
          </cell>
          <cell r="D150">
            <v>0</v>
          </cell>
        </row>
        <row r="151">
          <cell r="B151">
            <v>0</v>
          </cell>
          <cell r="C151">
            <v>0</v>
          </cell>
          <cell r="D151">
            <v>0</v>
          </cell>
        </row>
        <row r="152">
          <cell r="B152">
            <v>0</v>
          </cell>
          <cell r="C152">
            <v>0</v>
          </cell>
          <cell r="D152">
            <v>0</v>
          </cell>
        </row>
        <row r="153">
          <cell r="B153">
            <v>0</v>
          </cell>
          <cell r="C153">
            <v>0</v>
          </cell>
          <cell r="D153">
            <v>0</v>
          </cell>
        </row>
        <row r="154">
          <cell r="B154">
            <v>0</v>
          </cell>
          <cell r="C154">
            <v>0</v>
          </cell>
          <cell r="D154">
            <v>0</v>
          </cell>
        </row>
        <row r="155">
          <cell r="B155">
            <v>0</v>
          </cell>
          <cell r="C155">
            <v>0</v>
          </cell>
          <cell r="D155">
            <v>0</v>
          </cell>
        </row>
        <row r="156">
          <cell r="B156">
            <v>0</v>
          </cell>
          <cell r="C156">
            <v>0</v>
          </cell>
          <cell r="D156">
            <v>0</v>
          </cell>
        </row>
        <row r="157">
          <cell r="B157">
            <v>0</v>
          </cell>
          <cell r="C157">
            <v>0</v>
          </cell>
          <cell r="D157">
            <v>0</v>
          </cell>
        </row>
        <row r="158">
          <cell r="B158">
            <v>0</v>
          </cell>
          <cell r="C158">
            <v>0</v>
          </cell>
          <cell r="D158">
            <v>0</v>
          </cell>
        </row>
        <row r="159">
          <cell r="B159">
            <v>0</v>
          </cell>
          <cell r="C159">
            <v>0</v>
          </cell>
          <cell r="D159">
            <v>0</v>
          </cell>
        </row>
        <row r="160">
          <cell r="B160">
            <v>0</v>
          </cell>
          <cell r="C160">
            <v>0</v>
          </cell>
          <cell r="D160">
            <v>0</v>
          </cell>
        </row>
        <row r="161">
          <cell r="B161">
            <v>0</v>
          </cell>
          <cell r="C161">
            <v>0</v>
          </cell>
          <cell r="D161">
            <v>0</v>
          </cell>
        </row>
        <row r="162">
          <cell r="B162">
            <v>0</v>
          </cell>
          <cell r="C162">
            <v>0</v>
          </cell>
          <cell r="D162">
            <v>0</v>
          </cell>
        </row>
        <row r="163">
          <cell r="B163">
            <v>0</v>
          </cell>
          <cell r="C163">
            <v>0</v>
          </cell>
          <cell r="D163">
            <v>0</v>
          </cell>
        </row>
        <row r="164">
          <cell r="B164">
            <v>0</v>
          </cell>
          <cell r="C164">
            <v>0</v>
          </cell>
          <cell r="D164">
            <v>0</v>
          </cell>
        </row>
        <row r="165">
          <cell r="B165">
            <v>0</v>
          </cell>
          <cell r="C165">
            <v>0</v>
          </cell>
          <cell r="D165">
            <v>0</v>
          </cell>
        </row>
        <row r="166">
          <cell r="B166">
            <v>0</v>
          </cell>
          <cell r="C166">
            <v>0</v>
          </cell>
          <cell r="D166">
            <v>0</v>
          </cell>
        </row>
        <row r="167">
          <cell r="B167">
            <v>0</v>
          </cell>
          <cell r="C167">
            <v>0</v>
          </cell>
          <cell r="D167">
            <v>0</v>
          </cell>
        </row>
        <row r="168">
          <cell r="B168">
            <v>0</v>
          </cell>
          <cell r="C168">
            <v>0</v>
          </cell>
          <cell r="D168">
            <v>0</v>
          </cell>
        </row>
        <row r="169">
          <cell r="B169">
            <v>0</v>
          </cell>
          <cell r="C169">
            <v>0</v>
          </cell>
          <cell r="D169">
            <v>0</v>
          </cell>
        </row>
        <row r="170">
          <cell r="B170">
            <v>0</v>
          </cell>
          <cell r="C170">
            <v>0</v>
          </cell>
          <cell r="D170">
            <v>0</v>
          </cell>
        </row>
        <row r="171">
          <cell r="B171">
            <v>0</v>
          </cell>
          <cell r="C171">
            <v>0</v>
          </cell>
          <cell r="D171">
            <v>0</v>
          </cell>
        </row>
        <row r="172">
          <cell r="B172">
            <v>0</v>
          </cell>
          <cell r="C172">
            <v>0</v>
          </cell>
          <cell r="D172">
            <v>0</v>
          </cell>
        </row>
        <row r="173">
          <cell r="B173">
            <v>0</v>
          </cell>
          <cell r="C173">
            <v>0</v>
          </cell>
          <cell r="D173">
            <v>0</v>
          </cell>
        </row>
        <row r="174">
          <cell r="B174">
            <v>0</v>
          </cell>
          <cell r="C174">
            <v>0</v>
          </cell>
          <cell r="D174">
            <v>0</v>
          </cell>
        </row>
        <row r="175">
          <cell r="B175">
            <v>0</v>
          </cell>
          <cell r="C175">
            <v>0</v>
          </cell>
          <cell r="D175">
            <v>0</v>
          </cell>
        </row>
        <row r="176">
          <cell r="B176">
            <v>0</v>
          </cell>
          <cell r="C176">
            <v>0</v>
          </cell>
          <cell r="D176">
            <v>0</v>
          </cell>
        </row>
        <row r="177">
          <cell r="B177">
            <v>0</v>
          </cell>
          <cell r="C177">
            <v>0</v>
          </cell>
          <cell r="D177">
            <v>0</v>
          </cell>
        </row>
        <row r="178">
          <cell r="B178">
            <v>0</v>
          </cell>
          <cell r="C178">
            <v>0</v>
          </cell>
          <cell r="D178">
            <v>0</v>
          </cell>
        </row>
        <row r="179">
          <cell r="B179">
            <v>0</v>
          </cell>
          <cell r="C179">
            <v>0</v>
          </cell>
          <cell r="D179">
            <v>0</v>
          </cell>
        </row>
        <row r="180">
          <cell r="B180">
            <v>0</v>
          </cell>
          <cell r="C180">
            <v>0</v>
          </cell>
          <cell r="D180">
            <v>0</v>
          </cell>
        </row>
        <row r="181">
          <cell r="B181">
            <v>0</v>
          </cell>
          <cell r="C181">
            <v>0</v>
          </cell>
          <cell r="D181">
            <v>0</v>
          </cell>
        </row>
        <row r="182">
          <cell r="B182">
            <v>0</v>
          </cell>
          <cell r="C182">
            <v>0</v>
          </cell>
          <cell r="D182">
            <v>0</v>
          </cell>
        </row>
        <row r="183">
          <cell r="B183">
            <v>0</v>
          </cell>
          <cell r="C183">
            <v>0</v>
          </cell>
          <cell r="D183">
            <v>0</v>
          </cell>
        </row>
        <row r="184">
          <cell r="B184">
            <v>0</v>
          </cell>
          <cell r="C184">
            <v>0</v>
          </cell>
          <cell r="D184">
            <v>0</v>
          </cell>
        </row>
        <row r="185">
          <cell r="B185">
            <v>0</v>
          </cell>
          <cell r="C185">
            <v>0</v>
          </cell>
          <cell r="D185">
            <v>0</v>
          </cell>
        </row>
        <row r="186">
          <cell r="B186">
            <v>0</v>
          </cell>
          <cell r="C186">
            <v>0</v>
          </cell>
          <cell r="D186">
            <v>0</v>
          </cell>
        </row>
        <row r="187">
          <cell r="B187">
            <v>0</v>
          </cell>
          <cell r="C187">
            <v>0</v>
          </cell>
          <cell r="D187">
            <v>0</v>
          </cell>
        </row>
        <row r="188">
          <cell r="B188">
            <v>0</v>
          </cell>
          <cell r="C188">
            <v>0</v>
          </cell>
          <cell r="D188">
            <v>0</v>
          </cell>
        </row>
        <row r="189">
          <cell r="B189">
            <v>0</v>
          </cell>
          <cell r="C189">
            <v>0</v>
          </cell>
          <cell r="D189">
            <v>0</v>
          </cell>
        </row>
        <row r="190">
          <cell r="B190">
            <v>0</v>
          </cell>
          <cell r="C190">
            <v>0</v>
          </cell>
          <cell r="D190">
            <v>0</v>
          </cell>
        </row>
        <row r="191">
          <cell r="B191">
            <v>0</v>
          </cell>
          <cell r="C191">
            <v>0</v>
          </cell>
          <cell r="D191">
            <v>0</v>
          </cell>
        </row>
        <row r="192">
          <cell r="B192">
            <v>0</v>
          </cell>
          <cell r="C192">
            <v>0</v>
          </cell>
          <cell r="D192">
            <v>0</v>
          </cell>
        </row>
        <row r="193">
          <cell r="B193">
            <v>0</v>
          </cell>
          <cell r="C193">
            <v>0</v>
          </cell>
          <cell r="D193">
            <v>0</v>
          </cell>
        </row>
        <row r="194">
          <cell r="B194">
            <v>0</v>
          </cell>
          <cell r="C194">
            <v>0</v>
          </cell>
          <cell r="D194">
            <v>0</v>
          </cell>
        </row>
        <row r="195">
          <cell r="B195">
            <v>0</v>
          </cell>
          <cell r="C195">
            <v>0</v>
          </cell>
          <cell r="D195">
            <v>0</v>
          </cell>
        </row>
        <row r="196">
          <cell r="B196">
            <v>0</v>
          </cell>
          <cell r="C196">
            <v>0</v>
          </cell>
          <cell r="D196">
            <v>0</v>
          </cell>
        </row>
        <row r="197">
          <cell r="B197">
            <v>0</v>
          </cell>
          <cell r="C197">
            <v>0</v>
          </cell>
          <cell r="D197">
            <v>0</v>
          </cell>
        </row>
        <row r="198">
          <cell r="B198">
            <v>0</v>
          </cell>
          <cell r="C198">
            <v>0</v>
          </cell>
          <cell r="D198">
            <v>0</v>
          </cell>
        </row>
        <row r="199">
          <cell r="B199">
            <v>0</v>
          </cell>
          <cell r="C199">
            <v>0</v>
          </cell>
          <cell r="D199">
            <v>0</v>
          </cell>
        </row>
        <row r="200">
          <cell r="B200">
            <v>0</v>
          </cell>
          <cell r="C200">
            <v>0</v>
          </cell>
          <cell r="D200">
            <v>0</v>
          </cell>
        </row>
        <row r="201">
          <cell r="B201">
            <v>0</v>
          </cell>
          <cell r="C201">
            <v>0</v>
          </cell>
          <cell r="D201">
            <v>0</v>
          </cell>
        </row>
        <row r="202">
          <cell r="B202">
            <v>0</v>
          </cell>
          <cell r="C202">
            <v>0</v>
          </cell>
          <cell r="D202">
            <v>0</v>
          </cell>
        </row>
        <row r="203">
          <cell r="B203">
            <v>0</v>
          </cell>
          <cell r="C203">
            <v>0</v>
          </cell>
          <cell r="D203">
            <v>0</v>
          </cell>
        </row>
        <row r="204">
          <cell r="B204">
            <v>0</v>
          </cell>
          <cell r="C204">
            <v>0</v>
          </cell>
          <cell r="D204">
            <v>0</v>
          </cell>
        </row>
        <row r="205">
          <cell r="B205">
            <v>0</v>
          </cell>
          <cell r="C205">
            <v>0</v>
          </cell>
          <cell r="D205">
            <v>0</v>
          </cell>
        </row>
        <row r="206">
          <cell r="B206">
            <v>0</v>
          </cell>
          <cell r="C206">
            <v>0</v>
          </cell>
          <cell r="D206">
            <v>0</v>
          </cell>
        </row>
        <row r="207">
          <cell r="B207">
            <v>0</v>
          </cell>
          <cell r="C207">
            <v>0</v>
          </cell>
          <cell r="D207">
            <v>0</v>
          </cell>
        </row>
        <row r="208">
          <cell r="B208">
            <v>0</v>
          </cell>
          <cell r="C208">
            <v>0</v>
          </cell>
          <cell r="D208">
            <v>0</v>
          </cell>
        </row>
        <row r="209">
          <cell r="B209">
            <v>0</v>
          </cell>
          <cell r="C209">
            <v>0</v>
          </cell>
          <cell r="D209">
            <v>0</v>
          </cell>
        </row>
        <row r="210">
          <cell r="B210">
            <v>0</v>
          </cell>
          <cell r="C210">
            <v>0</v>
          </cell>
          <cell r="D210">
            <v>0</v>
          </cell>
        </row>
        <row r="211">
          <cell r="B211">
            <v>0</v>
          </cell>
          <cell r="C211">
            <v>0</v>
          </cell>
          <cell r="D211">
            <v>0</v>
          </cell>
        </row>
        <row r="212">
          <cell r="B212">
            <v>0</v>
          </cell>
          <cell r="C212">
            <v>0</v>
          </cell>
          <cell r="D212">
            <v>0</v>
          </cell>
        </row>
        <row r="213">
          <cell r="B213">
            <v>0</v>
          </cell>
          <cell r="C213">
            <v>0</v>
          </cell>
          <cell r="D213">
            <v>0</v>
          </cell>
        </row>
        <row r="214">
          <cell r="B214">
            <v>0</v>
          </cell>
          <cell r="C214">
            <v>0</v>
          </cell>
          <cell r="D214">
            <v>0</v>
          </cell>
        </row>
        <row r="215">
          <cell r="B215">
            <v>0</v>
          </cell>
          <cell r="C215">
            <v>0</v>
          </cell>
          <cell r="D215">
            <v>0</v>
          </cell>
        </row>
        <row r="216">
          <cell r="B216">
            <v>0</v>
          </cell>
          <cell r="C216">
            <v>0</v>
          </cell>
          <cell r="D216">
            <v>0</v>
          </cell>
        </row>
        <row r="217">
          <cell r="B217">
            <v>0</v>
          </cell>
          <cell r="C217">
            <v>0</v>
          </cell>
          <cell r="D217">
            <v>0</v>
          </cell>
        </row>
        <row r="218">
          <cell r="B218">
            <v>0</v>
          </cell>
          <cell r="C218">
            <v>0</v>
          </cell>
          <cell r="D218">
            <v>0</v>
          </cell>
        </row>
        <row r="219">
          <cell r="B219">
            <v>0</v>
          </cell>
          <cell r="C219">
            <v>0</v>
          </cell>
          <cell r="D219">
            <v>0</v>
          </cell>
        </row>
        <row r="220">
          <cell r="B220">
            <v>0</v>
          </cell>
          <cell r="C220">
            <v>0</v>
          </cell>
          <cell r="D220">
            <v>0</v>
          </cell>
        </row>
        <row r="221">
          <cell r="B221">
            <v>0</v>
          </cell>
          <cell r="C221">
            <v>0</v>
          </cell>
          <cell r="D221">
            <v>0</v>
          </cell>
        </row>
        <row r="222">
          <cell r="B222">
            <v>0</v>
          </cell>
          <cell r="C222">
            <v>0</v>
          </cell>
          <cell r="D222">
            <v>0</v>
          </cell>
        </row>
        <row r="223">
          <cell r="B223">
            <v>0</v>
          </cell>
          <cell r="C223">
            <v>0</v>
          </cell>
          <cell r="D223">
            <v>0</v>
          </cell>
        </row>
        <row r="224">
          <cell r="B224">
            <v>0</v>
          </cell>
          <cell r="C224">
            <v>0</v>
          </cell>
          <cell r="D224">
            <v>0</v>
          </cell>
        </row>
        <row r="225">
          <cell r="B225">
            <v>0</v>
          </cell>
          <cell r="C225">
            <v>0</v>
          </cell>
          <cell r="D225">
            <v>0</v>
          </cell>
        </row>
        <row r="226">
          <cell r="B226">
            <v>0</v>
          </cell>
          <cell r="C226">
            <v>0</v>
          </cell>
          <cell r="D226">
            <v>0</v>
          </cell>
        </row>
        <row r="227">
          <cell r="B227">
            <v>0</v>
          </cell>
          <cell r="C227">
            <v>0</v>
          </cell>
          <cell r="D227">
            <v>0</v>
          </cell>
        </row>
        <row r="228">
          <cell r="B228">
            <v>0</v>
          </cell>
          <cell r="C228">
            <v>0</v>
          </cell>
          <cell r="D228">
            <v>0</v>
          </cell>
        </row>
        <row r="229">
          <cell r="B229">
            <v>0</v>
          </cell>
          <cell r="C229">
            <v>0</v>
          </cell>
          <cell r="D229">
            <v>0</v>
          </cell>
        </row>
        <row r="230">
          <cell r="B230">
            <v>0</v>
          </cell>
          <cell r="C230">
            <v>0</v>
          </cell>
          <cell r="D230">
            <v>0</v>
          </cell>
        </row>
        <row r="231">
          <cell r="B231">
            <v>0</v>
          </cell>
          <cell r="C231">
            <v>0</v>
          </cell>
          <cell r="D231">
            <v>0</v>
          </cell>
        </row>
        <row r="232">
          <cell r="B232">
            <v>0</v>
          </cell>
          <cell r="C232">
            <v>0</v>
          </cell>
          <cell r="D232">
            <v>0</v>
          </cell>
        </row>
        <row r="233">
          <cell r="B233">
            <v>0</v>
          </cell>
          <cell r="C233">
            <v>0</v>
          </cell>
          <cell r="D233">
            <v>0</v>
          </cell>
        </row>
        <row r="234">
          <cell r="B234">
            <v>0</v>
          </cell>
          <cell r="C234">
            <v>0</v>
          </cell>
          <cell r="D234">
            <v>0</v>
          </cell>
        </row>
        <row r="235">
          <cell r="B235">
            <v>0</v>
          </cell>
          <cell r="C235">
            <v>0</v>
          </cell>
          <cell r="D235">
            <v>0</v>
          </cell>
        </row>
        <row r="236">
          <cell r="B236">
            <v>0</v>
          </cell>
          <cell r="C236">
            <v>0</v>
          </cell>
          <cell r="D236">
            <v>0</v>
          </cell>
        </row>
        <row r="237">
          <cell r="B237">
            <v>0</v>
          </cell>
          <cell r="C237">
            <v>0</v>
          </cell>
          <cell r="D237">
            <v>0</v>
          </cell>
        </row>
        <row r="238">
          <cell r="B238">
            <v>0</v>
          </cell>
          <cell r="C238">
            <v>0</v>
          </cell>
          <cell r="D238">
            <v>0</v>
          </cell>
        </row>
        <row r="239">
          <cell r="B239">
            <v>0</v>
          </cell>
          <cell r="C239">
            <v>0</v>
          </cell>
          <cell r="D239">
            <v>0</v>
          </cell>
        </row>
        <row r="240">
          <cell r="B240">
            <v>0</v>
          </cell>
          <cell r="C240">
            <v>0</v>
          </cell>
          <cell r="D240">
            <v>0</v>
          </cell>
        </row>
        <row r="241">
          <cell r="B241">
            <v>0</v>
          </cell>
          <cell r="C241">
            <v>0</v>
          </cell>
          <cell r="D241">
            <v>0</v>
          </cell>
        </row>
        <row r="242">
          <cell r="B242">
            <v>0</v>
          </cell>
          <cell r="C242">
            <v>0</v>
          </cell>
          <cell r="D242">
            <v>0</v>
          </cell>
        </row>
        <row r="243">
          <cell r="B243">
            <v>0</v>
          </cell>
          <cell r="C243">
            <v>0</v>
          </cell>
          <cell r="D243">
            <v>0</v>
          </cell>
        </row>
        <row r="244">
          <cell r="B244">
            <v>0</v>
          </cell>
          <cell r="C244">
            <v>0</v>
          </cell>
          <cell r="D244">
            <v>0</v>
          </cell>
        </row>
        <row r="245">
          <cell r="B245">
            <v>0</v>
          </cell>
          <cell r="C245">
            <v>0</v>
          </cell>
          <cell r="D245">
            <v>0</v>
          </cell>
        </row>
        <row r="246">
          <cell r="B246">
            <v>0</v>
          </cell>
          <cell r="C246">
            <v>0</v>
          </cell>
          <cell r="D246">
            <v>0</v>
          </cell>
        </row>
        <row r="247">
          <cell r="B247">
            <v>0</v>
          </cell>
          <cell r="C247">
            <v>0</v>
          </cell>
          <cell r="D247">
            <v>0</v>
          </cell>
        </row>
        <row r="248">
          <cell r="B248">
            <v>0</v>
          </cell>
          <cell r="C248">
            <v>0</v>
          </cell>
          <cell r="D248">
            <v>0</v>
          </cell>
        </row>
        <row r="249">
          <cell r="B249">
            <v>0</v>
          </cell>
          <cell r="C249">
            <v>0</v>
          </cell>
          <cell r="D249">
            <v>0</v>
          </cell>
        </row>
        <row r="250">
          <cell r="B250">
            <v>0</v>
          </cell>
          <cell r="C250">
            <v>0</v>
          </cell>
          <cell r="D250">
            <v>0</v>
          </cell>
        </row>
        <row r="251">
          <cell r="B251">
            <v>0</v>
          </cell>
          <cell r="C251">
            <v>0</v>
          </cell>
          <cell r="D251">
            <v>0</v>
          </cell>
        </row>
        <row r="252">
          <cell r="B252">
            <v>0</v>
          </cell>
          <cell r="C252">
            <v>0</v>
          </cell>
          <cell r="D252">
            <v>0</v>
          </cell>
        </row>
        <row r="253">
          <cell r="B253">
            <v>0</v>
          </cell>
          <cell r="C253">
            <v>0</v>
          </cell>
          <cell r="D253">
            <v>0</v>
          </cell>
        </row>
        <row r="254">
          <cell r="B254">
            <v>0</v>
          </cell>
          <cell r="C254">
            <v>0</v>
          </cell>
          <cell r="D254">
            <v>0</v>
          </cell>
        </row>
        <row r="255">
          <cell r="B255">
            <v>0</v>
          </cell>
          <cell r="C255">
            <v>0</v>
          </cell>
          <cell r="D255">
            <v>0</v>
          </cell>
        </row>
        <row r="256">
          <cell r="B256">
            <v>0</v>
          </cell>
          <cell r="C256">
            <v>0</v>
          </cell>
          <cell r="D256">
            <v>0</v>
          </cell>
        </row>
        <row r="257">
          <cell r="B257">
            <v>0</v>
          </cell>
          <cell r="C257">
            <v>0</v>
          </cell>
          <cell r="D257">
            <v>0</v>
          </cell>
        </row>
        <row r="258">
          <cell r="B258">
            <v>0</v>
          </cell>
          <cell r="C258">
            <v>0</v>
          </cell>
          <cell r="D258">
            <v>0</v>
          </cell>
        </row>
        <row r="259">
          <cell r="B259">
            <v>0</v>
          </cell>
          <cell r="C259">
            <v>0</v>
          </cell>
          <cell r="D259">
            <v>0</v>
          </cell>
        </row>
        <row r="260">
          <cell r="B260">
            <v>0</v>
          </cell>
          <cell r="C260">
            <v>0</v>
          </cell>
          <cell r="D260">
            <v>0</v>
          </cell>
        </row>
        <row r="261">
          <cell r="B261">
            <v>0</v>
          </cell>
          <cell r="C261">
            <v>0</v>
          </cell>
          <cell r="D261">
            <v>0</v>
          </cell>
        </row>
        <row r="262">
          <cell r="B262">
            <v>0</v>
          </cell>
          <cell r="C262">
            <v>0</v>
          </cell>
          <cell r="D262">
            <v>0</v>
          </cell>
        </row>
        <row r="263">
          <cell r="B263">
            <v>0</v>
          </cell>
          <cell r="C263">
            <v>0</v>
          </cell>
          <cell r="D263">
            <v>0</v>
          </cell>
        </row>
        <row r="264">
          <cell r="B264">
            <v>0</v>
          </cell>
          <cell r="C264">
            <v>0</v>
          </cell>
          <cell r="D264">
            <v>0</v>
          </cell>
        </row>
        <row r="265">
          <cell r="B265">
            <v>0</v>
          </cell>
          <cell r="C265">
            <v>0</v>
          </cell>
          <cell r="D265">
            <v>0</v>
          </cell>
        </row>
        <row r="266">
          <cell r="B266">
            <v>0</v>
          </cell>
          <cell r="C266">
            <v>0</v>
          </cell>
          <cell r="D266">
            <v>0</v>
          </cell>
        </row>
        <row r="267">
          <cell r="B267">
            <v>0</v>
          </cell>
          <cell r="C267">
            <v>0</v>
          </cell>
          <cell r="D267">
            <v>0</v>
          </cell>
        </row>
        <row r="268">
          <cell r="B268">
            <v>0</v>
          </cell>
          <cell r="C268">
            <v>0</v>
          </cell>
          <cell r="D268">
            <v>0</v>
          </cell>
        </row>
        <row r="269">
          <cell r="B269">
            <v>0</v>
          </cell>
          <cell r="C269">
            <v>0</v>
          </cell>
          <cell r="D269">
            <v>0</v>
          </cell>
        </row>
        <row r="270">
          <cell r="B270">
            <v>0</v>
          </cell>
          <cell r="C270">
            <v>0</v>
          </cell>
          <cell r="D270">
            <v>0</v>
          </cell>
        </row>
        <row r="271">
          <cell r="B271">
            <v>0</v>
          </cell>
          <cell r="C271">
            <v>0</v>
          </cell>
          <cell r="D271">
            <v>0</v>
          </cell>
        </row>
        <row r="272">
          <cell r="B272">
            <v>0</v>
          </cell>
          <cell r="C272">
            <v>0</v>
          </cell>
          <cell r="D272">
            <v>0</v>
          </cell>
        </row>
        <row r="273">
          <cell r="B273">
            <v>0</v>
          </cell>
          <cell r="C273">
            <v>0</v>
          </cell>
          <cell r="D273">
            <v>0</v>
          </cell>
        </row>
        <row r="274">
          <cell r="B274">
            <v>0</v>
          </cell>
          <cell r="C274">
            <v>0</v>
          </cell>
          <cell r="D274">
            <v>0</v>
          </cell>
        </row>
        <row r="275">
          <cell r="B275">
            <v>0</v>
          </cell>
          <cell r="C275">
            <v>0</v>
          </cell>
          <cell r="D275">
            <v>0</v>
          </cell>
        </row>
        <row r="276">
          <cell r="B276">
            <v>0</v>
          </cell>
          <cell r="C276">
            <v>0</v>
          </cell>
          <cell r="D276">
            <v>0</v>
          </cell>
        </row>
        <row r="277">
          <cell r="B277">
            <v>0</v>
          </cell>
          <cell r="C277">
            <v>0</v>
          </cell>
          <cell r="D277">
            <v>0</v>
          </cell>
        </row>
        <row r="278">
          <cell r="B278">
            <v>0</v>
          </cell>
          <cell r="C278">
            <v>0</v>
          </cell>
          <cell r="D278">
            <v>0</v>
          </cell>
        </row>
        <row r="279">
          <cell r="B279">
            <v>0</v>
          </cell>
          <cell r="C279">
            <v>0</v>
          </cell>
          <cell r="D279">
            <v>0</v>
          </cell>
        </row>
        <row r="280">
          <cell r="B280">
            <v>0</v>
          </cell>
          <cell r="C280">
            <v>0</v>
          </cell>
          <cell r="D280">
            <v>0</v>
          </cell>
        </row>
        <row r="281">
          <cell r="B281">
            <v>0</v>
          </cell>
          <cell r="C281">
            <v>0</v>
          </cell>
          <cell r="D281">
            <v>0</v>
          </cell>
        </row>
        <row r="282">
          <cell r="B282">
            <v>0</v>
          </cell>
          <cell r="C282">
            <v>0</v>
          </cell>
          <cell r="D282">
            <v>0</v>
          </cell>
        </row>
        <row r="283">
          <cell r="B283">
            <v>0</v>
          </cell>
          <cell r="C283">
            <v>0</v>
          </cell>
          <cell r="D283">
            <v>0</v>
          </cell>
        </row>
        <row r="284">
          <cell r="B284">
            <v>0</v>
          </cell>
          <cell r="C284">
            <v>0</v>
          </cell>
          <cell r="D284">
            <v>0</v>
          </cell>
        </row>
        <row r="285">
          <cell r="B285">
            <v>0</v>
          </cell>
          <cell r="C285">
            <v>0</v>
          </cell>
          <cell r="D285">
            <v>0</v>
          </cell>
        </row>
        <row r="286">
          <cell r="B286">
            <v>0</v>
          </cell>
          <cell r="C286">
            <v>0</v>
          </cell>
          <cell r="D286">
            <v>0</v>
          </cell>
        </row>
        <row r="287">
          <cell r="B287">
            <v>0</v>
          </cell>
          <cell r="C287">
            <v>0</v>
          </cell>
          <cell r="D287">
            <v>0</v>
          </cell>
        </row>
        <row r="288">
          <cell r="B288">
            <v>0</v>
          </cell>
          <cell r="C288">
            <v>0</v>
          </cell>
          <cell r="D288">
            <v>0</v>
          </cell>
        </row>
        <row r="289">
          <cell r="B289">
            <v>0</v>
          </cell>
          <cell r="C289">
            <v>0</v>
          </cell>
          <cell r="D289">
            <v>0</v>
          </cell>
        </row>
        <row r="290">
          <cell r="B290">
            <v>0</v>
          </cell>
          <cell r="C290">
            <v>0</v>
          </cell>
          <cell r="D290">
            <v>0</v>
          </cell>
        </row>
        <row r="291">
          <cell r="B291">
            <v>0</v>
          </cell>
          <cell r="C291">
            <v>0</v>
          </cell>
          <cell r="D291">
            <v>0</v>
          </cell>
        </row>
        <row r="292">
          <cell r="B292">
            <v>0</v>
          </cell>
          <cell r="C292">
            <v>0</v>
          </cell>
          <cell r="D292">
            <v>0</v>
          </cell>
        </row>
        <row r="293">
          <cell r="B293">
            <v>0</v>
          </cell>
          <cell r="C293">
            <v>0</v>
          </cell>
          <cell r="D293">
            <v>0</v>
          </cell>
        </row>
        <row r="294">
          <cell r="B294">
            <v>0</v>
          </cell>
          <cell r="C294">
            <v>0</v>
          </cell>
          <cell r="D294">
            <v>0</v>
          </cell>
        </row>
        <row r="295">
          <cell r="B295">
            <v>0</v>
          </cell>
          <cell r="C295">
            <v>0</v>
          </cell>
          <cell r="D295">
            <v>0</v>
          </cell>
        </row>
        <row r="296">
          <cell r="B296">
            <v>0</v>
          </cell>
          <cell r="C296">
            <v>0</v>
          </cell>
          <cell r="D296">
            <v>0</v>
          </cell>
        </row>
        <row r="297">
          <cell r="B297">
            <v>0</v>
          </cell>
          <cell r="C297">
            <v>0</v>
          </cell>
          <cell r="D297">
            <v>0</v>
          </cell>
        </row>
        <row r="298">
          <cell r="B298">
            <v>0</v>
          </cell>
          <cell r="C298">
            <v>0</v>
          </cell>
          <cell r="D298">
            <v>0</v>
          </cell>
        </row>
        <row r="299">
          <cell r="B299">
            <v>0</v>
          </cell>
          <cell r="C299">
            <v>0</v>
          </cell>
          <cell r="D299">
            <v>0</v>
          </cell>
        </row>
        <row r="300">
          <cell r="B300">
            <v>0</v>
          </cell>
          <cell r="C300">
            <v>0</v>
          </cell>
          <cell r="D300">
            <v>0</v>
          </cell>
        </row>
        <row r="301">
          <cell r="B301">
            <v>0</v>
          </cell>
          <cell r="C301">
            <v>0</v>
          </cell>
          <cell r="D301">
            <v>0</v>
          </cell>
        </row>
        <row r="302">
          <cell r="B302">
            <v>0</v>
          </cell>
          <cell r="C302">
            <v>0</v>
          </cell>
          <cell r="D302">
            <v>0</v>
          </cell>
        </row>
        <row r="303">
          <cell r="B303">
            <v>0</v>
          </cell>
          <cell r="C303">
            <v>0</v>
          </cell>
          <cell r="D303">
            <v>0</v>
          </cell>
        </row>
        <row r="304">
          <cell r="B304">
            <v>0</v>
          </cell>
          <cell r="C304">
            <v>0</v>
          </cell>
          <cell r="D304">
            <v>0</v>
          </cell>
        </row>
        <row r="305">
          <cell r="B305">
            <v>0</v>
          </cell>
          <cell r="C305">
            <v>0</v>
          </cell>
          <cell r="D305">
            <v>0</v>
          </cell>
        </row>
        <row r="306">
          <cell r="B306">
            <v>0</v>
          </cell>
          <cell r="C306">
            <v>0</v>
          </cell>
          <cell r="D306">
            <v>0</v>
          </cell>
        </row>
        <row r="307">
          <cell r="B307">
            <v>0</v>
          </cell>
          <cell r="C307">
            <v>0</v>
          </cell>
          <cell r="D307">
            <v>0</v>
          </cell>
        </row>
        <row r="308">
          <cell r="B308">
            <v>0</v>
          </cell>
          <cell r="C308">
            <v>0</v>
          </cell>
          <cell r="D308">
            <v>0</v>
          </cell>
        </row>
        <row r="309">
          <cell r="B309">
            <v>0</v>
          </cell>
          <cell r="C309">
            <v>0</v>
          </cell>
          <cell r="D309">
            <v>0</v>
          </cell>
        </row>
        <row r="310">
          <cell r="B310">
            <v>0</v>
          </cell>
          <cell r="C310">
            <v>0</v>
          </cell>
          <cell r="D310">
            <v>0</v>
          </cell>
        </row>
        <row r="311">
          <cell r="B311">
            <v>0</v>
          </cell>
          <cell r="C311">
            <v>0</v>
          </cell>
          <cell r="D311">
            <v>0</v>
          </cell>
        </row>
        <row r="312">
          <cell r="B312">
            <v>0</v>
          </cell>
          <cell r="C312">
            <v>0</v>
          </cell>
          <cell r="D312">
            <v>0</v>
          </cell>
        </row>
        <row r="313">
          <cell r="B313">
            <v>0</v>
          </cell>
          <cell r="C313">
            <v>0</v>
          </cell>
          <cell r="D313">
            <v>0</v>
          </cell>
        </row>
        <row r="314">
          <cell r="B314">
            <v>0</v>
          </cell>
          <cell r="C314">
            <v>0</v>
          </cell>
          <cell r="D314">
            <v>0</v>
          </cell>
        </row>
        <row r="315">
          <cell r="B315">
            <v>0</v>
          </cell>
          <cell r="C315">
            <v>0</v>
          </cell>
          <cell r="D315">
            <v>0</v>
          </cell>
        </row>
        <row r="316">
          <cell r="B316">
            <v>0</v>
          </cell>
          <cell r="C316">
            <v>0</v>
          </cell>
          <cell r="D316">
            <v>0</v>
          </cell>
        </row>
        <row r="317">
          <cell r="B317">
            <v>0</v>
          </cell>
          <cell r="C317">
            <v>0</v>
          </cell>
          <cell r="D317">
            <v>0</v>
          </cell>
        </row>
        <row r="318">
          <cell r="B318">
            <v>0</v>
          </cell>
          <cell r="C318">
            <v>0</v>
          </cell>
          <cell r="D318">
            <v>0</v>
          </cell>
        </row>
        <row r="319">
          <cell r="B319">
            <v>0</v>
          </cell>
          <cell r="C319">
            <v>0</v>
          </cell>
          <cell r="D319">
            <v>0</v>
          </cell>
        </row>
        <row r="320">
          <cell r="B320">
            <v>0</v>
          </cell>
          <cell r="C320">
            <v>0</v>
          </cell>
          <cell r="D320">
            <v>0</v>
          </cell>
        </row>
        <row r="321">
          <cell r="B321">
            <v>0</v>
          </cell>
          <cell r="C321">
            <v>0</v>
          </cell>
          <cell r="D321">
            <v>0</v>
          </cell>
        </row>
        <row r="322">
          <cell r="B322">
            <v>0</v>
          </cell>
          <cell r="C322">
            <v>0</v>
          </cell>
          <cell r="D322">
            <v>0</v>
          </cell>
        </row>
        <row r="323">
          <cell r="B323">
            <v>0</v>
          </cell>
          <cell r="C323">
            <v>0</v>
          </cell>
          <cell r="D323">
            <v>0</v>
          </cell>
        </row>
        <row r="324">
          <cell r="B324">
            <v>0</v>
          </cell>
          <cell r="C324">
            <v>0</v>
          </cell>
          <cell r="D324">
            <v>0</v>
          </cell>
        </row>
        <row r="325">
          <cell r="B325">
            <v>0</v>
          </cell>
          <cell r="C325">
            <v>0</v>
          </cell>
          <cell r="D325">
            <v>0</v>
          </cell>
        </row>
        <row r="326">
          <cell r="B326">
            <v>0</v>
          </cell>
          <cell r="C326">
            <v>0</v>
          </cell>
          <cell r="D326">
            <v>0</v>
          </cell>
        </row>
        <row r="327">
          <cell r="B327">
            <v>0</v>
          </cell>
          <cell r="C327">
            <v>0</v>
          </cell>
          <cell r="D327">
            <v>0</v>
          </cell>
        </row>
      </sheetData>
      <sheetData sheetId="8" refreshError="1"/>
      <sheetData sheetId="9" refreshError="1"/>
      <sheetData sheetId="10" refreshError="1"/>
      <sheetData sheetId="11">
        <row r="10">
          <cell r="G10">
            <v>0.48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OFICIAL"/>
      <sheetName val="AU OFICIAL"/>
      <sheetName val="ANALISIS DE PRECIOS UNITARIOS"/>
      <sheetName val="INSUMOS"/>
      <sheetName val="FAC. PRESTACION"/>
      <sheetName val="INVERSION AMBIENTAL "/>
    </sheetNames>
    <sheetDataSet>
      <sheetData sheetId="0"/>
      <sheetData sheetId="1"/>
      <sheetData sheetId="2"/>
      <sheetData sheetId="3">
        <row r="5">
          <cell r="A5" t="str">
            <v>Agua</v>
          </cell>
        </row>
        <row r="6">
          <cell r="A6" t="str">
            <v>Cemento</v>
          </cell>
        </row>
        <row r="8">
          <cell r="A8" t="str">
            <v>Larguero de 2"X2" por 3m</v>
          </cell>
        </row>
        <row r="9">
          <cell r="A9" t="str">
            <v>COSTAL DE FIQUE (Gante para curado)</v>
          </cell>
        </row>
        <row r="10">
          <cell r="A10" t="str">
            <v>Moldura en madera 1/4 bocel de L=2,80 m.</v>
          </cell>
        </row>
        <row r="11">
          <cell r="A11" t="str">
            <v>Caseton en madera de 50cm de altura</v>
          </cell>
        </row>
        <row r="12">
          <cell r="A12" t="str">
            <v>Super T de 19 mm. de 1,53 x 2,44 m.</v>
          </cell>
        </row>
        <row r="13">
          <cell r="A13" t="str">
            <v>Larguero madera común 4cmx8cmx2.80m</v>
          </cell>
        </row>
        <row r="14">
          <cell r="A14" t="str">
            <v>Clavo común de 1 1/2".</v>
          </cell>
        </row>
        <row r="15">
          <cell r="A15" t="str">
            <v>Clavo común de 1"</v>
          </cell>
        </row>
        <row r="16">
          <cell r="A16" t="str">
            <v>Larguero de 2"X2" por 3m</v>
          </cell>
        </row>
        <row r="17">
          <cell r="A17" t="str">
            <v>Tabla madera común de 1,7cm x 20cm x 3,0m</v>
          </cell>
        </row>
        <row r="18">
          <cell r="A18" t="str">
            <v xml:space="preserve">Viáticos para comisión en Buchadó </v>
          </cell>
        </row>
        <row r="19">
          <cell r="A19" t="str">
            <v>Tela cerramiento obra verde, ancho: 2.10 m.</v>
          </cell>
        </row>
        <row r="20">
          <cell r="A20" t="str">
            <v>Taco madera de 3.0m</v>
          </cell>
        </row>
        <row r="21">
          <cell r="A21" t="str">
            <v>Polietileno negro construccion</v>
          </cell>
        </row>
        <row r="22">
          <cell r="A22" t="str">
            <v>Cerramiento en telera de 1,35 m X ,90 m.</v>
          </cell>
        </row>
        <row r="23">
          <cell r="A23" t="str">
            <v>Cubierta en lamina de zinc, incluye lámina, largueros, fijaciones</v>
          </cell>
        </row>
        <row r="24">
          <cell r="A24" t="str">
            <v>Puerta 0.2 x 2.05 en madera comun, incluye marco y cerradura</v>
          </cell>
        </row>
        <row r="25">
          <cell r="A25" t="str">
            <v>Sistema electrico, voz y datos Camapamento</v>
          </cell>
        </row>
        <row r="26">
          <cell r="A26" t="str">
            <v>Sistema Hidrosanitario campamento</v>
          </cell>
        </row>
        <row r="27">
          <cell r="A27" t="str">
            <v>Suministro e Instalación de Sanitarios</v>
          </cell>
        </row>
        <row r="28">
          <cell r="A28" t="str">
            <v>Suministro e Instalación de Lavamanos</v>
          </cell>
        </row>
        <row r="29">
          <cell r="A29" t="str">
            <v>Bisel pulgada de chingale (para cortagotera en losa ) de L=2,80 m.</v>
          </cell>
        </row>
        <row r="34">
          <cell r="A34" t="str">
            <v>ACOPIO en telera de 1,35 m X ,90 m. Incluye clavos, alambre y todo lo necesario para su correcto funcionamiento: CHIQUEROS (4 ESPACIOS ARENAS Y TRITURADOS), CEMENTO, HIERRO</v>
          </cell>
        </row>
        <row r="35">
          <cell r="A35" t="str">
            <v>CAJAS O TANQUES SEDIMENTADORES, caja desarenadora</v>
          </cell>
        </row>
        <row r="36">
          <cell r="A36" t="str">
            <v>Construcción de cajas de trampa de grasas de 60 x 60 x altura hasta 120 cm. en concreto de 21Mpa.</v>
          </cell>
        </row>
        <row r="37">
          <cell r="A37" t="str">
            <v>Suministro mas instalacion de tablero electrico de consolidacion, para conexiones de equipos externos, incluye tomas para 110 vac, 220 vac, protecciones con Breaker industriales y encauchetado de 4x10 con u alcance de 20 mts</v>
          </cell>
        </row>
        <row r="38">
          <cell r="A38" t="str">
            <v xml:space="preserve">Suministro e instalación de salida 220 vac para lámpara EXTERNAS (reflectores).  Incluye tubería PVC, cable THHN, caja, </v>
          </cell>
        </row>
        <row r="39">
          <cell r="A39" t="str">
            <v>suministro mas instalacion de cable treanzado No 12</v>
          </cell>
        </row>
        <row r="40">
          <cell r="A40" t="str">
            <v>S.E.I Tubería conduit PVC 1",  incluye accesorios, fijaciones y demás elementos para su correcta instalación.</v>
          </cell>
        </row>
        <row r="41">
          <cell r="A41" t="str">
            <v>Excavación en roca con cemento expansivo tipo CRAS o equivalente. Con una dosificación mínima de 8kg/m3. Incluye perforación.</v>
          </cell>
        </row>
        <row r="42">
          <cell r="A42" t="str">
            <v>Carnaza (bolsa x Kg)</v>
          </cell>
        </row>
        <row r="43">
          <cell r="A43" t="str">
            <v>Grano preparado</v>
          </cell>
        </row>
        <row r="44">
          <cell r="A44" t="str">
            <v>Lechada preparada</v>
          </cell>
        </row>
        <row r="45">
          <cell r="A45" t="str">
            <v>Estopa</v>
          </cell>
        </row>
        <row r="46">
          <cell r="A46" t="str">
            <v>Bloque arena cemento de 12x20x40cm</v>
          </cell>
        </row>
        <row r="47">
          <cell r="A47" t="str">
            <v>Varilla de dilatación de aluminio de 3 mm.</v>
          </cell>
        </row>
        <row r="48">
          <cell r="A48" t="str">
            <v>Lija de agua 400</v>
          </cell>
        </row>
        <row r="49">
          <cell r="A49" t="str">
            <v>Disolvente para Pinturas a Base de Aceite.</v>
          </cell>
        </row>
        <row r="50">
          <cell r="A50" t="str">
            <v>Pintura anticorrosivo</v>
          </cell>
        </row>
        <row r="51">
          <cell r="A51" t="str">
            <v xml:space="preserve">Suministro, colocación de puerta metálica en celosía 1.20 X 2.55m. </v>
          </cell>
        </row>
        <row r="52">
          <cell r="A52" t="str">
            <v>Estuco plastico listo para usar en interiores y exteriores</v>
          </cell>
        </row>
        <row r="53">
          <cell r="A53" t="str">
            <v>Repelente de agua transparente de gran durabilidad (10 años).  Presentacion: 5gl o 16 kg  Rendimieto:0.15 kg/m2/capa. Minimo 2 capas</v>
          </cell>
        </row>
        <row r="54">
          <cell r="A54" t="str">
            <v>Material de rio para llenos</v>
          </cell>
        </row>
        <row r="55">
          <cell r="A55" t="str">
            <v xml:space="preserve">Suministro, colocación de puerta metálica en celosía 4.24 X 2.55m. </v>
          </cell>
        </row>
        <row r="56">
          <cell r="A56" t="str">
            <v xml:space="preserve">Suministro, colocación de puerta metálica en celosía 2.16X 2.55m. </v>
          </cell>
        </row>
        <row r="57">
          <cell r="A57" t="str">
            <v xml:space="preserve">Suministro, colocación de puerta metálica en celosía 0.8 X 2.55m. </v>
          </cell>
        </row>
        <row r="59">
          <cell r="A59" t="str">
            <v>Suministro transporte e instalación de Teja traslucida STABILIT o equivalente</v>
          </cell>
        </row>
        <row r="60">
          <cell r="A60" t="str">
            <v>Suministro transporte e instalación de cubierta termoacústica en panel tipo METECNO</v>
          </cell>
        </row>
        <row r="61">
          <cell r="A61" t="str">
            <v>Suministro de paneles de fachada en madera deFina en listones de 4x4 cm</v>
          </cell>
        </row>
        <row r="62">
          <cell r="A62" t="str">
            <v>Suministro de pasamanos metálico, tubería superior en PTS rectangular de 2" x 1" x 3 mm</v>
          </cell>
        </row>
        <row r="63">
          <cell r="A63" t="str">
            <v>Suministro, transporte y montaje de ESTRUCTURA METÁLICA, TIPO IPE, HEA, PHR-C, PTE-</v>
          </cell>
        </row>
        <row r="65">
          <cell r="A65" t="str">
            <v>Acero refuerzo G-60 figurado</v>
          </cell>
        </row>
        <row r="66">
          <cell r="A66" t="str">
            <v>Alambre recocido C 18</v>
          </cell>
        </row>
        <row r="69">
          <cell r="A69" t="str">
            <v>Malla electrosoldada D-106</v>
          </cell>
        </row>
        <row r="70">
          <cell r="A70" t="str">
            <v>Malla electrosoldada D-50</v>
          </cell>
        </row>
        <row r="71">
          <cell r="A71" t="str">
            <v>Sellos elastomericos PVC de Ø= 12"</v>
          </cell>
        </row>
        <row r="78">
          <cell r="A78" t="str">
            <v>Separol (Desmoldante para evitar adherencia de concretos a formaletas)</v>
          </cell>
        </row>
        <row r="79">
          <cell r="A79" t="str">
            <v>Sellalon gris varilla de espuma de 1" de polietileno</v>
          </cell>
        </row>
        <row r="80">
          <cell r="A80" t="str">
            <v xml:space="preserve">Sikaflex 1 - A Sellador elastico de poliuretano de alta durabilidad 300cm3 </v>
          </cell>
        </row>
        <row r="81">
          <cell r="A81" t="str">
            <v>Acido nitrico x 200 litros</v>
          </cell>
        </row>
        <row r="82">
          <cell r="A82" t="str">
            <v>Hidrosolve x 200 litros</v>
          </cell>
        </row>
        <row r="84">
          <cell r="A84" t="str">
            <v>Concreto de 14 Mpa (2000 psi)</v>
          </cell>
        </row>
        <row r="85">
          <cell r="A85" t="str">
            <v>Concreto de 17.5 Mpa (2500 psi)</v>
          </cell>
        </row>
        <row r="86">
          <cell r="A86" t="str">
            <v>Concreto de 21 Mpa (3000PSI)</v>
          </cell>
        </row>
        <row r="87">
          <cell r="A87" t="str">
            <v>Revoque 1:4 preparado en obra</v>
          </cell>
        </row>
        <row r="88">
          <cell r="A88" t="str">
            <v>Sika 1 - impermeabilizante integral - morteros - concretos.  Presentacion: 1kg. Rendimiento: 1kl x 1 bulto de cemento  o el 3% del peso del cemento</v>
          </cell>
        </row>
        <row r="89">
          <cell r="A89" t="str">
            <v>Mortero 1:5 en obra</v>
          </cell>
        </row>
        <row r="92">
          <cell r="A92" t="str">
            <v>Construcción de MICROPILOTES, diámetro 10 cm, profundidad 6,0 m</v>
          </cell>
        </row>
        <row r="98">
          <cell r="A98" t="str">
            <v>Ceramica pared Miraflores blanca</v>
          </cell>
        </row>
        <row r="99">
          <cell r="A99" t="str">
            <v>Cerámica Pared Miraflores de colores (azul, rojo, naranja)</v>
          </cell>
        </row>
        <row r="100">
          <cell r="A100" t="str">
            <v>Adhesivo cerámico Pegacor gris - Corona</v>
          </cell>
        </row>
        <row r="101">
          <cell r="A101" t="str">
            <v>Boquilla Blanca (concolor 5-15)- Sumicol</v>
          </cell>
        </row>
        <row r="102">
          <cell r="A102" t="str">
            <v>Moldura plastica blanco (toro plastico) 2.40m</v>
          </cell>
        </row>
        <row r="107">
          <cell r="A107" t="str">
            <v>Sikadur 42 anclaje. Grout epoxico para anclaje de pernos y nivelacion de maquinaria.  Rendimientos: 2kg/1lt. Incuye transporte.</v>
          </cell>
        </row>
        <row r="108">
          <cell r="A108" t="str">
            <v>Sikafluid o equivalente (Fluidificante para mezclas de concreto.) 1%</v>
          </cell>
        </row>
        <row r="117">
          <cell r="A117" t="str">
            <v>Tubería PVC-S Ø= 3"</v>
          </cell>
        </row>
        <row r="118">
          <cell r="A118" t="str">
            <v>Unión PVC-S Ø= 3"</v>
          </cell>
        </row>
        <row r="119">
          <cell r="A119" t="str">
            <v>Codo 45º PVC-S CxC, Ø= 3".</v>
          </cell>
        </row>
        <row r="120">
          <cell r="A120" t="str">
            <v>Codo 90º PVC-S CxC, Ø= 3".</v>
          </cell>
        </row>
        <row r="121">
          <cell r="A121" t="str">
            <v>Yee PVC-S Ø= 3" - Pavco o equivalente.</v>
          </cell>
        </row>
        <row r="122">
          <cell r="A122" t="str">
            <v>Yee PVC-S Reducida Ø= 3X2" pavco o equivalente</v>
          </cell>
        </row>
        <row r="123">
          <cell r="A123" t="str">
            <v>Tee PVC-S Ø= 3"</v>
          </cell>
        </row>
        <row r="124">
          <cell r="A124" t="str">
            <v>Tee PVC-S Ø= 3"x2"</v>
          </cell>
        </row>
        <row r="125">
          <cell r="A125" t="str">
            <v>Buje soldado PVC-S de 3" a 2"</v>
          </cell>
        </row>
        <row r="126">
          <cell r="A126" t="str">
            <v>Abrazadera tipo fijador galvanizado para tubo de Ø= 3" + tornillos marca mecano ref FPAG300 o equivalente.</v>
          </cell>
        </row>
        <row r="127">
          <cell r="A127" t="str">
            <v>Pintura acondicionador de superficies Tipo Wash Primer, componente B. Presentación por 1/4 galón</v>
          </cell>
        </row>
        <row r="128">
          <cell r="A128" t="str">
            <v>Esmalte a Base de Aceite, Rendimiento 30m2/gl</v>
          </cell>
        </row>
        <row r="129">
          <cell r="A129" t="str">
            <v>Limpiador Removedor PVC x 1/4 de galón.</v>
          </cell>
        </row>
        <row r="130">
          <cell r="A130" t="str">
            <v>Soldadura PVC (Unión simple) 1/4</v>
          </cell>
        </row>
        <row r="131">
          <cell r="A131" t="str">
            <v>Tubería PVC-S Ø= 4"</v>
          </cell>
        </row>
        <row r="132">
          <cell r="A132" t="str">
            <v>Unión PVC-S Ø= 4"</v>
          </cell>
        </row>
        <row r="133">
          <cell r="A133" t="str">
            <v>Codo 45º PVC-S CxC, Ø= 4".</v>
          </cell>
        </row>
        <row r="134">
          <cell r="A134" t="str">
            <v>Codo 90º PVC-S CxC, Ø= 4".</v>
          </cell>
        </row>
        <row r="135">
          <cell r="A135" t="str">
            <v>Yee PVC-S Ø= 4" - Pavco o equivalente.</v>
          </cell>
        </row>
        <row r="136">
          <cell r="A136" t="str">
            <v>Yee PVC-S Reducida Ø= 4X3" pavco o equivalente</v>
          </cell>
        </row>
        <row r="137">
          <cell r="A137" t="str">
            <v>Yee PVC-S Reducida Ø= 4X2" pavco o equivalente</v>
          </cell>
        </row>
        <row r="138">
          <cell r="A138" t="str">
            <v>Tee PVC-S Ø= 4"</v>
          </cell>
        </row>
        <row r="139">
          <cell r="A139" t="str">
            <v>Tee PVC-S Ø= 4"x3"</v>
          </cell>
        </row>
        <row r="140">
          <cell r="A140" t="str">
            <v>Abrazadera tipo fijador galvanizado para tubo de Ø= 4" + tornillos marca mecano ref FPAG400 o equivalente.</v>
          </cell>
        </row>
        <row r="141">
          <cell r="A141" t="str">
            <v>Tapón prueba PVC-S Ø= 3"</v>
          </cell>
        </row>
        <row r="142">
          <cell r="A142" t="str">
            <v>Tubería PVC-V Ø= 3" A.LL</v>
          </cell>
        </row>
        <row r="143">
          <cell r="A143" t="str">
            <v>Canal PVC C-90</v>
          </cell>
        </row>
        <row r="144">
          <cell r="A144" t="str">
            <v>Soporte de canal PVC C-90</v>
          </cell>
        </row>
        <row r="145">
          <cell r="A145" t="str">
            <v>Unión de canal PVC C-90</v>
          </cell>
        </row>
        <row r="146">
          <cell r="A146" t="str">
            <v>Union de canal bajante PVC C-90</v>
          </cell>
        </row>
        <row r="147">
          <cell r="A147" t="str">
            <v>Tubería PVC-S Ø= 2"</v>
          </cell>
        </row>
        <row r="148">
          <cell r="A148" t="str">
            <v>Unión PVC-S Ø= 2"</v>
          </cell>
        </row>
        <row r="149">
          <cell r="A149" t="str">
            <v>Codo 45º PVC-S CxC, Ø= 2".</v>
          </cell>
        </row>
        <row r="150">
          <cell r="A150" t="str">
            <v>Codo 90º PVC-S CxC, Ø= 2".</v>
          </cell>
        </row>
        <row r="151">
          <cell r="A151" t="str">
            <v>Yee PVC-S Ø= 2" - Pavco o equivalente.</v>
          </cell>
        </row>
        <row r="152">
          <cell r="A152" t="str">
            <v>Yee PVC-S Reducida Ø= 3X2" pavco o equivalente</v>
          </cell>
        </row>
        <row r="153">
          <cell r="A153" t="str">
            <v>Tee PVC-S Ø= 2"</v>
          </cell>
        </row>
        <row r="154">
          <cell r="A154" t="str">
            <v>Tee PVC-S Ø= 2"x1"</v>
          </cell>
        </row>
        <row r="155">
          <cell r="A155" t="str">
            <v>Buje soldado PVC-S de 2" a 1"</v>
          </cell>
        </row>
        <row r="161">
          <cell r="A161" t="str">
            <v>Enchape en grano de marmol vibroprensado grano 1 de 30x30</v>
          </cell>
        </row>
        <row r="162">
          <cell r="A162" t="str">
            <v>Pintura Epoxico Poliamida, Rendimiento 67m2/gl</v>
          </cell>
        </row>
        <row r="163">
          <cell r="A163" t="str">
            <v>Cartón corrugado protección piso ancho 1.33m</v>
          </cell>
        </row>
        <row r="164">
          <cell r="A164" t="str">
            <v>Catalizador Para Pintura Epoxico Poliamida</v>
          </cell>
        </row>
        <row r="165">
          <cell r="A165" t="str">
            <v>Impermeabilizante acrílico de altas prestaciones, para aplicar en frío, de alta elasticidad, tipo paraguas ultra de corona o su equivalente.</v>
          </cell>
        </row>
        <row r="166">
          <cell r="A166" t="str">
            <v>Tablero Acrílico Blanco, lamina con o sin cuadricula, dimensiones 120x240cm, bordeado con bisel en aluminio anodizado, porta tiza/porta borrador.</v>
          </cell>
        </row>
        <row r="168">
          <cell r="A168" t="str">
            <v>Tubería PVC-P RDE 9 500 PSI, Ø= 3/4" - Pavco o equivalente.</v>
          </cell>
        </row>
        <row r="169">
          <cell r="A169" t="str">
            <v>Unión PVC-P, Ø= 3/4"</v>
          </cell>
        </row>
        <row r="170">
          <cell r="A170" t="str">
            <v>Codo 90º PVC-P Ø= 3/4".</v>
          </cell>
        </row>
        <row r="171">
          <cell r="A171" t="str">
            <v>Tee PVC-P Ø= 3/4"</v>
          </cell>
        </row>
        <row r="172">
          <cell r="A172" t="str">
            <v>Adaptador macho PVC-P Ø= 3/4"</v>
          </cell>
        </row>
        <row r="173">
          <cell r="A173" t="str">
            <v>Adaptador hembra PVC-P Ø= 3/4" - Pavco o equivalente.</v>
          </cell>
        </row>
        <row r="175">
          <cell r="A175" t="str">
            <v>Tubería PVC-P RDE 9 500 PSI, Ø= 1/2" - Pavco o equivalente.</v>
          </cell>
        </row>
        <row r="176">
          <cell r="A176" t="str">
            <v>Unión PVC-P, Ø= 1/2"</v>
          </cell>
        </row>
        <row r="177">
          <cell r="A177" t="str">
            <v>Codo 90º PVC-P Ø= 1/2"</v>
          </cell>
        </row>
        <row r="178">
          <cell r="A178" t="str">
            <v>Tee PVC-P Ø= 1/2"</v>
          </cell>
        </row>
        <row r="179">
          <cell r="A179" t="str">
            <v>Adaptador macho PVC-P Ø= 1/2"</v>
          </cell>
        </row>
        <row r="180">
          <cell r="A180" t="str">
            <v>Adaptador hembra PVC-P Ø= 1/2" - Pavco o equivalente.</v>
          </cell>
        </row>
        <row r="182">
          <cell r="A182" t="str">
            <v>columna tubular metalica de 4" x 4", incluye pintura anticorrosiva y epoxica, con h= 2.5 ml</v>
          </cell>
        </row>
        <row r="183">
          <cell r="A183" t="str">
            <v>listones ( vigas) 2" x 5" x 3ml , incluye inmunizada</v>
          </cell>
        </row>
        <row r="184">
          <cell r="A184" t="str">
            <v>listones 5" x 5" , incluye inmunizada x 3ml</v>
          </cell>
        </row>
        <row r="185">
          <cell r="A185" t="str">
            <v>circulacion en madera: incluye pasamanos en madera e inmunizada de toda la madera</v>
          </cell>
        </row>
        <row r="186">
          <cell r="A186" t="str">
            <v>Grama macana, incluye transporte, tierra abonada y demás elementos necesarios para su prendimiento.</v>
          </cell>
        </row>
        <row r="187">
          <cell r="A187" t="str">
            <v>Palma Real de h=3,50 hasta 4,00 m, Incluye transporte</v>
          </cell>
        </row>
        <row r="188">
          <cell r="A188" t="str">
            <v>Tierra abonada</v>
          </cell>
        </row>
        <row r="189">
          <cell r="A189" t="str">
            <v>Triple 15</v>
          </cell>
        </row>
        <row r="190">
          <cell r="A190" t="str">
            <v>Borax</v>
          </cell>
        </row>
        <row r="191">
          <cell r="A191" t="str">
            <v>Stockosorb</v>
          </cell>
        </row>
        <row r="192">
          <cell r="A192" t="str">
            <v>tabla en madera fina, e = 2.5 cm, incluye inmunizada</v>
          </cell>
        </row>
        <row r="193">
          <cell r="A193" t="str">
            <v>ESCALERAS AÉREAS 2.5m en madera fina incluye accesorios de instalación e inmunizada</v>
          </cell>
        </row>
        <row r="194">
          <cell r="A194" t="str">
            <v xml:space="preserve">Combos sanitarios(lavamanos y orinales) ncluye accesorios </v>
          </cell>
        </row>
        <row r="195">
          <cell r="A195" t="str">
            <v>sitemas septico y agua potable en baterias sanitarias, inclye instalacion de tuberias, accesorios, tanques plasticos</v>
          </cell>
        </row>
      </sheetData>
      <sheetData sheetId="4"/>
      <sheetData sheetId="5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s "/>
      <sheetName val="apolinar"/>
      <sheetName val="cantidad materiales riosucio"/>
      <sheetName val="materiales riosucio"/>
      <sheetName val="Análisis materiales"/>
      <sheetName val="Análisis P. U. "/>
      <sheetName val="mano de obra Rio Sucio"/>
      <sheetName val="Presupuesto Rio Sucio"/>
      <sheetName val="A.Aux. a P. U."/>
      <sheetName val="PLAN DE INVERSION DEL ANTICIPO"/>
      <sheetName val="Organigrama"/>
      <sheetName val="Jornal día"/>
      <sheetName val="Cálculo Prestaciones"/>
      <sheetName val="subcontrato cerramientos"/>
      <sheetName val="subcontrato cubiertas"/>
      <sheetName val="subcontrato comunicaciones}"/>
      <sheetName val="Pre CASA DE JUSTICIA DE RIOSUCI"/>
      <sheetName val="materiales"/>
      <sheetName val="Hoja1"/>
      <sheetName val="CUADRILLAS"/>
      <sheetName val="RENDIMIENTO"/>
      <sheetName val="DURACION TARE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4">
          <cell r="A4" t="str">
            <v>Maestro De Obra</v>
          </cell>
          <cell r="B4">
            <v>50000</v>
          </cell>
          <cell r="C4">
            <v>6250</v>
          </cell>
          <cell r="D4">
            <v>90750</v>
          </cell>
          <cell r="E4">
            <v>11343.75</v>
          </cell>
        </row>
        <row r="5">
          <cell r="A5" t="str">
            <v>Maestro De Obra a 2 Hrs</v>
          </cell>
          <cell r="B5">
            <v>12500</v>
          </cell>
          <cell r="C5">
            <v>6250</v>
          </cell>
          <cell r="D5">
            <v>22687.5</v>
          </cell>
          <cell r="E5">
            <v>2835.9375</v>
          </cell>
        </row>
        <row r="6">
          <cell r="A6" t="str">
            <v>Oficial De Obra Primera</v>
          </cell>
          <cell r="B6">
            <v>44000</v>
          </cell>
          <cell r="C6">
            <v>5500</v>
          </cell>
          <cell r="D6">
            <v>79860</v>
          </cell>
          <cell r="E6">
            <v>9982.5</v>
          </cell>
        </row>
        <row r="7">
          <cell r="A7" t="str">
            <v>Oficial De Obra Primera a 2 Hrs</v>
          </cell>
          <cell r="B7">
            <v>11000</v>
          </cell>
          <cell r="C7">
            <v>5500</v>
          </cell>
          <cell r="D7">
            <v>19965</v>
          </cell>
          <cell r="E7">
            <v>2495.625</v>
          </cell>
        </row>
        <row r="8">
          <cell r="A8" t="str">
            <v>Oficial De Obra Segunda</v>
          </cell>
          <cell r="B8">
            <v>44000</v>
          </cell>
          <cell r="C8">
            <v>5500</v>
          </cell>
          <cell r="D8">
            <v>79860</v>
          </cell>
          <cell r="E8">
            <v>9982.5</v>
          </cell>
        </row>
        <row r="9">
          <cell r="A9" t="str">
            <v>Ayudante De Obra</v>
          </cell>
          <cell r="B9">
            <v>23000</v>
          </cell>
          <cell r="C9">
            <v>2875</v>
          </cell>
          <cell r="D9">
            <v>41745</v>
          </cell>
          <cell r="E9">
            <v>5218.125</v>
          </cell>
        </row>
        <row r="10">
          <cell r="A10" t="str">
            <v>Oficial De Fontaneria</v>
          </cell>
          <cell r="B10">
            <v>44000</v>
          </cell>
          <cell r="C10">
            <v>5500</v>
          </cell>
          <cell r="D10">
            <v>79860</v>
          </cell>
          <cell r="E10">
            <v>9982.5</v>
          </cell>
        </row>
        <row r="11">
          <cell r="A11" t="str">
            <v>Ayudante De  Fontaneria</v>
          </cell>
          <cell r="B11">
            <v>23000</v>
          </cell>
          <cell r="C11">
            <v>2875</v>
          </cell>
          <cell r="D11">
            <v>41745</v>
          </cell>
          <cell r="E11">
            <v>5218.125</v>
          </cell>
        </row>
        <row r="12">
          <cell r="A12" t="str">
            <v>Ayudante Cadenero Topogr.</v>
          </cell>
          <cell r="B12">
            <v>23000</v>
          </cell>
          <cell r="C12">
            <v>2875</v>
          </cell>
          <cell r="D12">
            <v>41745</v>
          </cell>
          <cell r="E12">
            <v>5218.125</v>
          </cell>
        </row>
        <row r="13">
          <cell r="A13" t="str">
            <v>Oficial Carpinteria  Metalica</v>
          </cell>
          <cell r="B13">
            <v>44000</v>
          </cell>
          <cell r="C13">
            <v>5500</v>
          </cell>
          <cell r="D13">
            <v>79860</v>
          </cell>
          <cell r="E13">
            <v>9982.5</v>
          </cell>
        </row>
        <row r="14">
          <cell r="A14" t="str">
            <v>Ayudante Carpinteria Metalica</v>
          </cell>
          <cell r="B14">
            <v>23000</v>
          </cell>
          <cell r="C14">
            <v>2875</v>
          </cell>
          <cell r="D14">
            <v>41745</v>
          </cell>
          <cell r="E14">
            <v>5218.125</v>
          </cell>
        </row>
        <row r="15">
          <cell r="A15" t="str">
            <v>Oficial Carpinteria  Madera</v>
          </cell>
          <cell r="B15">
            <v>44000</v>
          </cell>
          <cell r="C15">
            <v>5500</v>
          </cell>
          <cell r="D15">
            <v>79860</v>
          </cell>
          <cell r="E15">
            <v>9982.5</v>
          </cell>
        </row>
        <row r="16">
          <cell r="A16" t="str">
            <v>Ayudante Carpinteria Madera</v>
          </cell>
          <cell r="B16">
            <v>23000</v>
          </cell>
          <cell r="C16">
            <v>2875</v>
          </cell>
          <cell r="D16">
            <v>41745</v>
          </cell>
          <cell r="E16">
            <v>5218.125</v>
          </cell>
        </row>
        <row r="17">
          <cell r="A17" t="str">
            <v>Oficial Electricidad</v>
          </cell>
          <cell r="B17">
            <v>44000</v>
          </cell>
          <cell r="C17">
            <v>5500</v>
          </cell>
          <cell r="D17">
            <v>79860</v>
          </cell>
          <cell r="E17">
            <v>9982.5</v>
          </cell>
        </row>
        <row r="18">
          <cell r="A18" t="str">
            <v>Ayudante Electricidad</v>
          </cell>
          <cell r="B18">
            <v>23000</v>
          </cell>
          <cell r="C18">
            <v>2875</v>
          </cell>
          <cell r="D18">
            <v>41745</v>
          </cell>
          <cell r="E18">
            <v>5218.125</v>
          </cell>
        </row>
        <row r="19">
          <cell r="A19" t="str">
            <v>Oficial De Pintura</v>
          </cell>
          <cell r="B19">
            <v>44000</v>
          </cell>
          <cell r="C19">
            <v>5500</v>
          </cell>
          <cell r="D19">
            <v>79860</v>
          </cell>
          <cell r="E19">
            <v>9982.5</v>
          </cell>
        </row>
        <row r="20">
          <cell r="A20" t="str">
            <v>Ayudante De Pintura</v>
          </cell>
          <cell r="B20">
            <v>23000</v>
          </cell>
          <cell r="C20">
            <v>2875</v>
          </cell>
          <cell r="D20">
            <v>41745</v>
          </cell>
          <cell r="E20">
            <v>5218.125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DENTES DE 1995 - 1996"/>
      <sheetName val="items"/>
      <sheetName val="HISTORICOS FUEL OIL EXP"/>
      <sheetName val="PR 1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%20DE%201995%20-%2019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o Resumen"/>
      <sheetName val="TORTA"/>
      <sheetName val="Resum_Pav"/>
      <sheetName val="INVENT.ALC-CUNETAS 90BLB"/>
      <sheetName val="PUENTES Y PONTONES"/>
      <sheetName val="SEÑAL VERTICAL90BLB"/>
      <sheetName val="SEÑAL HORIZONTAL90BLB"/>
      <sheetName val="Tabl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O VÍA-CRIT.TECNICO"/>
      <sheetName val="CALIFICACIÓN"/>
      <sheetName val="DAÑOS 8002"/>
      <sheetName val="DAÑOS 4313 "/>
      <sheetName val="DAÑOS 7805"/>
      <sheetName val="DAÑOS 80MG01"/>
      <sheetName val="INVENT.ALC-CUNETAS 8002"/>
      <sheetName val="INV.ALC-CUNET 4313 - 7805"/>
      <sheetName val="INVENT.ALC-CUNET 80MG01"/>
      <sheetName val="SEÑAL VERTICAL 8002"/>
      <sheetName val="SEÑAL VERTICAL 4313"/>
      <sheetName val="SEÑAL VERTICAL 80MG01"/>
      <sheetName val="SEÑAL HORIZONTAL 8002"/>
      <sheetName val="SEÑAL HORIZONTAL 4313"/>
      <sheetName val="SEÑAL HORIZONTAL 80MG0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cio"/>
      <sheetName val="Descripción del Proyecto"/>
      <sheetName val="Dosificación Concretos"/>
      <sheetName val="Costo Materiales 2016"/>
      <sheetName val="Costo Maquinaría 2016"/>
      <sheetName val="Costo Herramientas 2016"/>
      <sheetName val="Salarios"/>
      <sheetName val="Costo Cuadrilla"/>
      <sheetName val="TABLAS"/>
      <sheetName val="Carpinteria Metálica y Madera"/>
      <sheetName val="Enchapes"/>
      <sheetName val="APU Maquinarias"/>
      <sheetName val="Acero de Refuerzo"/>
      <sheetName val="Preliminares"/>
      <sheetName val="Demolición y Desmonte"/>
      <sheetName val="Estruc. Concreto"/>
      <sheetName val="Formaleta"/>
      <sheetName val="A.P.U auxiliar"/>
      <sheetName val="Cimentación"/>
      <sheetName val="Vidrio y Espejos"/>
      <sheetName val="Mampostería"/>
      <sheetName val="Acabado de Pisos"/>
      <sheetName val="Aparatos Sanitarios"/>
      <sheetName val="Relleno Material Seleccionado"/>
      <sheetName val="Excavaciones"/>
      <sheetName val="Pisos"/>
      <sheetName val="Instalaciones Hidráulicas"/>
      <sheetName val="Instalaciones Sanitarias"/>
      <sheetName val="Divisiones Modulares"/>
      <sheetName val="Cielo Razo"/>
      <sheetName val="Pintura"/>
      <sheetName val="Impermeabilización"/>
      <sheetName val="Cubierta"/>
      <sheetName val="Instalaciones Electricas"/>
      <sheetName val="Hoja1"/>
      <sheetName val="Pañetes y Estuco"/>
      <sheetName val="Cerramiento"/>
      <sheetName val="Aseo y Limpieza"/>
      <sheetName val="Gaviones-Bolsacreto-Bolsarena"/>
      <sheetName val="DESPIECE ACEROS"/>
      <sheetName val="CANTIDADES DE OBRA"/>
      <sheetName val="PRESUPUESTO"/>
      <sheetName val="PRECIOS ACTIVIDADES POR INTERNE"/>
    </sheetNames>
    <sheetDataSet>
      <sheetData sheetId="0" refreshError="1"/>
      <sheetData sheetId="1"/>
      <sheetData sheetId="2" refreshError="1"/>
      <sheetData sheetId="3">
        <row r="28">
          <cell r="O28">
            <v>2975</v>
          </cell>
        </row>
      </sheetData>
      <sheetData sheetId="4">
        <row r="3">
          <cell r="A3" t="str">
            <v>Retroexcav. Oruga Grande</v>
          </cell>
        </row>
        <row r="4">
          <cell r="A4" t="str">
            <v>Retroexcav. Oruga Pequeña</v>
          </cell>
        </row>
        <row r="5">
          <cell r="A5" t="str">
            <v>Retroexcavadora C/Cargador Frontal (Case O Caterpillar)</v>
          </cell>
        </row>
        <row r="6">
          <cell r="A6" t="str">
            <v>Volqueta 5 M3</v>
          </cell>
        </row>
        <row r="7">
          <cell r="A7" t="str">
            <v>Volqueta 5 M3 (Limpieza)</v>
          </cell>
        </row>
        <row r="8">
          <cell r="A8" t="str">
            <v>Cargador</v>
          </cell>
        </row>
        <row r="9">
          <cell r="A9" t="str">
            <v>Vibrocompactador</v>
          </cell>
        </row>
        <row r="10">
          <cell r="A10" t="str">
            <v>Tractor Buldozer D-6</v>
          </cell>
        </row>
        <row r="11">
          <cell r="A11" t="str">
            <v>Grua sobre Neumáticos para 20 Ton</v>
          </cell>
        </row>
        <row r="12">
          <cell r="A12" t="str">
            <v>Vibrocompactador DYN CA25</v>
          </cell>
        </row>
        <row r="13">
          <cell r="A13" t="str">
            <v>Retroexcavadora CAT 120B</v>
          </cell>
        </row>
        <row r="14">
          <cell r="A14" t="str">
            <v>Motoconformadora 120H</v>
          </cell>
        </row>
        <row r="15">
          <cell r="A15" t="str">
            <v>Traxcavo 955L</v>
          </cell>
        </row>
        <row r="16">
          <cell r="A16" t="str">
            <v>Cargador Sobre Neúmaticos 950G</v>
          </cell>
        </row>
        <row r="17">
          <cell r="A17" t="str">
            <v>Tractor Buldozer D-8</v>
          </cell>
        </row>
        <row r="19">
          <cell r="A19" t="str">
            <v>Mezcladora</v>
          </cell>
        </row>
        <row r="20">
          <cell r="A20" t="str">
            <v>Vibrador Electrico</v>
          </cell>
        </row>
        <row r="21">
          <cell r="A21" t="str">
            <v>Vibrocompactadora tipo rana</v>
          </cell>
        </row>
        <row r="22">
          <cell r="A22" t="str">
            <v>Electrobomba</v>
          </cell>
        </row>
        <row r="23">
          <cell r="A23" t="str">
            <v>Equipo de topografía</v>
          </cell>
        </row>
        <row r="24">
          <cell r="A24" t="str">
            <v>Cizalla</v>
          </cell>
        </row>
        <row r="25">
          <cell r="A25" t="str">
            <v>Sierra eléctrica</v>
          </cell>
        </row>
        <row r="26">
          <cell r="A26" t="str">
            <v>Pulidora manual + disco corte</v>
          </cell>
        </row>
        <row r="27">
          <cell r="A27" t="str">
            <v>Pulidora manual + piedras desv y pulir</v>
          </cell>
        </row>
        <row r="28">
          <cell r="A28" t="str">
            <v>Andamios 2 cuerpos</v>
          </cell>
        </row>
        <row r="29">
          <cell r="A29" t="str">
            <v>Equipo de soldadura</v>
          </cell>
        </row>
        <row r="30">
          <cell r="A30" t="str">
            <v>Cortadora elect + disco refractario</v>
          </cell>
        </row>
        <row r="31">
          <cell r="A31" t="str">
            <v>Cortadora manual</v>
          </cell>
        </row>
        <row r="32">
          <cell r="A32" t="str">
            <v>Taladro electrico</v>
          </cell>
        </row>
        <row r="33">
          <cell r="A33" t="str">
            <v>Soplete</v>
          </cell>
        </row>
        <row r="34">
          <cell r="A34" t="str">
            <v>Andamio (1 Cuerpo)</v>
          </cell>
        </row>
        <row r="35">
          <cell r="A35" t="str">
            <v>Regla vibradora</v>
          </cell>
        </row>
        <row r="36">
          <cell r="A36" t="str">
            <v>Compresor Hidráulico 1 Martillo</v>
          </cell>
        </row>
        <row r="37">
          <cell r="A37" t="str">
            <v>Dobladora de Acero</v>
          </cell>
        </row>
        <row r="38">
          <cell r="A38" t="str">
            <v>Equipo de Topografía</v>
          </cell>
        </row>
        <row r="39">
          <cell r="A39" t="str">
            <v>Equipo Eléctrico Soldadura</v>
          </cell>
        </row>
        <row r="40">
          <cell r="A40" t="str">
            <v>Equipo a Gas</v>
          </cell>
        </row>
        <row r="41">
          <cell r="A41" t="str">
            <v>Almadana o Mona de 6 Libras</v>
          </cell>
        </row>
        <row r="42">
          <cell r="A42" t="str">
            <v>Mantenimiento % Tarifa</v>
          </cell>
        </row>
        <row r="43">
          <cell r="A43" t="str">
            <v>Herramienta Menor</v>
          </cell>
        </row>
        <row r="44">
          <cell r="A44" t="str">
            <v>Almadana o Mona</v>
          </cell>
        </row>
      </sheetData>
      <sheetData sheetId="5" refreshError="1"/>
      <sheetData sheetId="6" refreshError="1"/>
      <sheetData sheetId="7" refreshError="1"/>
      <sheetData sheetId="8">
        <row r="3">
          <cell r="A3" t="str">
            <v>Rend. Día</v>
          </cell>
        </row>
        <row r="4">
          <cell r="A4" t="str">
            <v>Rend. Hora</v>
          </cell>
        </row>
        <row r="6">
          <cell r="C6" t="str">
            <v>1 Ayudante - MO 101</v>
          </cell>
        </row>
        <row r="7">
          <cell r="C7" t="str">
            <v>1 Oficial - MO 102</v>
          </cell>
        </row>
        <row r="8">
          <cell r="C8" t="str">
            <v>1 Maestro - MO 103</v>
          </cell>
        </row>
        <row r="9">
          <cell r="C9" t="str">
            <v>2 Ayudantes - MO 104</v>
          </cell>
        </row>
        <row r="10">
          <cell r="C10" t="str">
            <v>3 Ayudantes - MO 105</v>
          </cell>
        </row>
        <row r="11">
          <cell r="C11" t="str">
            <v>4 Ayudantes - MO 106</v>
          </cell>
        </row>
        <row r="12">
          <cell r="C12" t="str">
            <v>5 Ayudantes - MO 107</v>
          </cell>
        </row>
        <row r="13">
          <cell r="C13" t="str">
            <v>6 Ayudantes - MO 108</v>
          </cell>
        </row>
        <row r="14">
          <cell r="C14" t="str">
            <v>7 Ayudantes - MO 109</v>
          </cell>
        </row>
        <row r="15">
          <cell r="C15" t="str">
            <v>8 Ayudantes - MO 110</v>
          </cell>
        </row>
        <row r="16">
          <cell r="C16" t="str">
            <v>9 Ayudantes - MO 111</v>
          </cell>
        </row>
        <row r="17">
          <cell r="C17" t="str">
            <v>10 Ayudantes - MO 112</v>
          </cell>
        </row>
        <row r="18">
          <cell r="C18" t="str">
            <v>1 Ayudante + Oficial - MO 113</v>
          </cell>
        </row>
        <row r="19">
          <cell r="C19" t="str">
            <v>2 Ayudantes + Oficial - MO 114</v>
          </cell>
        </row>
        <row r="20">
          <cell r="C20" t="str">
            <v>3 Ayudantes + Oficial - MO 115</v>
          </cell>
        </row>
        <row r="21">
          <cell r="C21" t="str">
            <v>4 Ayudantes + Oficial - MO 116</v>
          </cell>
        </row>
        <row r="22">
          <cell r="C22" t="str">
            <v>5 Ayudantes + Oficial - MO 117</v>
          </cell>
        </row>
        <row r="23">
          <cell r="C23" t="str">
            <v>6 Ayudantes + Oficial - MO 118</v>
          </cell>
        </row>
        <row r="24">
          <cell r="C24" t="str">
            <v>1 Ayudante + Oficial + Maestro - MO 119</v>
          </cell>
        </row>
        <row r="25">
          <cell r="C25" t="str">
            <v>2 Ayudantes + Oficial + Maestro - MO 120</v>
          </cell>
        </row>
        <row r="26">
          <cell r="C26" t="str">
            <v>3 Ayudantes + Oficial + Maestro - MO 121</v>
          </cell>
        </row>
        <row r="27">
          <cell r="C27" t="str">
            <v>1 Oficial + Maestro - MO 122</v>
          </cell>
        </row>
        <row r="28">
          <cell r="C28" t="str">
            <v>1 Ayudante - MO 201</v>
          </cell>
        </row>
        <row r="29">
          <cell r="C29" t="str">
            <v>1 Electricista - MO 202</v>
          </cell>
        </row>
        <row r="30">
          <cell r="C30" t="str">
            <v>1 Topografo - MO 301</v>
          </cell>
        </row>
        <row r="31">
          <cell r="C31" t="str">
            <v>1 Cadenero T1 - MO 302</v>
          </cell>
        </row>
        <row r="32">
          <cell r="C32" t="str">
            <v>1 Cadenero T2 - MO 303</v>
          </cell>
        </row>
        <row r="33">
          <cell r="C33" t="str">
            <v>1 Cadenero T3 - MO 304</v>
          </cell>
        </row>
        <row r="34">
          <cell r="C34" t="str">
            <v>Ope. Retroexcavadora Ligera - MO 401</v>
          </cell>
        </row>
        <row r="35">
          <cell r="C35" t="str">
            <v>Ope. Grua Pesada - MO 402</v>
          </cell>
        </row>
        <row r="36">
          <cell r="C36" t="str">
            <v>Ope. Rodillo Vibratorio - MO 403</v>
          </cell>
        </row>
        <row r="37">
          <cell r="C37" t="str">
            <v>Ope. Tractor Bulldozer - MO 404</v>
          </cell>
        </row>
        <row r="38">
          <cell r="C38" t="str">
            <v>Ope. Motoconformadora - MO 405</v>
          </cell>
        </row>
        <row r="39">
          <cell r="C39" t="str">
            <v>Ope. de Traxcavo - MO 406</v>
          </cell>
        </row>
        <row r="40">
          <cell r="C40" t="str">
            <v>Ope. de Payloder - MO 407</v>
          </cell>
        </row>
        <row r="41">
          <cell r="C41" t="str">
            <v xml:space="preserve"> - </v>
          </cell>
        </row>
        <row r="42">
          <cell r="C42" t="str">
            <v xml:space="preserve"> - </v>
          </cell>
        </row>
        <row r="43">
          <cell r="C43" t="str">
            <v xml:space="preserve"> - </v>
          </cell>
        </row>
        <row r="44">
          <cell r="C44" t="str">
            <v xml:space="preserve"> - </v>
          </cell>
        </row>
        <row r="45">
          <cell r="C45" t="str">
            <v xml:space="preserve"> - </v>
          </cell>
        </row>
        <row r="46">
          <cell r="C46" t="str">
            <v xml:space="preserve"> - </v>
          </cell>
        </row>
        <row r="47">
          <cell r="C47" t="str">
            <v xml:space="preserve"> - </v>
          </cell>
        </row>
        <row r="48">
          <cell r="C48" t="str">
            <v xml:space="preserve"> - </v>
          </cell>
        </row>
        <row r="49">
          <cell r="C49" t="str">
            <v xml:space="preserve"> - </v>
          </cell>
        </row>
        <row r="50">
          <cell r="C50" t="str">
            <v xml:space="preserve"> - </v>
          </cell>
        </row>
        <row r="51">
          <cell r="C51" t="str">
            <v xml:space="preserve"> - </v>
          </cell>
        </row>
        <row r="52">
          <cell r="C52" t="str">
            <v xml:space="preserve"> - </v>
          </cell>
        </row>
        <row r="53">
          <cell r="C53" t="str">
            <v xml:space="preserve"> - </v>
          </cell>
        </row>
        <row r="54">
          <cell r="C54" t="str">
            <v xml:space="preserve"> - </v>
          </cell>
        </row>
        <row r="55">
          <cell r="C55" t="str">
            <v xml:space="preserve"> - </v>
          </cell>
        </row>
        <row r="56">
          <cell r="C56" t="str">
            <v xml:space="preserve"> - </v>
          </cell>
        </row>
        <row r="57">
          <cell r="C57" t="str">
            <v xml:space="preserve"> - </v>
          </cell>
        </row>
        <row r="58">
          <cell r="C58" t="str">
            <v xml:space="preserve"> - </v>
          </cell>
        </row>
        <row r="59">
          <cell r="C59" t="str">
            <v xml:space="preserve"> - </v>
          </cell>
        </row>
        <row r="60">
          <cell r="C60" t="str">
            <v xml:space="preserve"> - </v>
          </cell>
        </row>
        <row r="61">
          <cell r="C61" t="str">
            <v xml:space="preserve"> - </v>
          </cell>
        </row>
        <row r="62">
          <cell r="C62" t="str">
            <v xml:space="preserve"> - </v>
          </cell>
        </row>
        <row r="63">
          <cell r="C63" t="str">
            <v xml:space="preserve"> - </v>
          </cell>
        </row>
        <row r="64">
          <cell r="C64" t="str">
            <v xml:space="preserve"> - </v>
          </cell>
        </row>
        <row r="65">
          <cell r="C65" t="str">
            <v xml:space="preserve"> - </v>
          </cell>
        </row>
        <row r="66">
          <cell r="C66" t="str">
            <v xml:space="preserve"> - </v>
          </cell>
        </row>
        <row r="67">
          <cell r="C67" t="str">
            <v xml:space="preserve"> - </v>
          </cell>
        </row>
        <row r="68">
          <cell r="C68" t="str">
            <v xml:space="preserve"> - </v>
          </cell>
        </row>
        <row r="69">
          <cell r="C69" t="str">
            <v xml:space="preserve"> - </v>
          </cell>
        </row>
        <row r="70">
          <cell r="C70" t="str">
            <v xml:space="preserve"> - </v>
          </cell>
        </row>
        <row r="71">
          <cell r="C71" t="str">
            <v xml:space="preserve"> - </v>
          </cell>
        </row>
        <row r="72">
          <cell r="C72" t="str">
            <v xml:space="preserve"> - </v>
          </cell>
        </row>
        <row r="73">
          <cell r="C73" t="str">
            <v xml:space="preserve"> - </v>
          </cell>
        </row>
        <row r="74">
          <cell r="C74" t="str">
            <v xml:space="preserve"> - </v>
          </cell>
        </row>
        <row r="75">
          <cell r="C75" t="str">
            <v xml:space="preserve"> - </v>
          </cell>
        </row>
        <row r="76">
          <cell r="C76" t="str">
            <v xml:space="preserve"> - </v>
          </cell>
        </row>
        <row r="77">
          <cell r="C77" t="str">
            <v xml:space="preserve"> - </v>
          </cell>
        </row>
        <row r="78">
          <cell r="C78" t="str">
            <v xml:space="preserve"> - </v>
          </cell>
        </row>
        <row r="79">
          <cell r="C79" t="str">
            <v xml:space="preserve"> - </v>
          </cell>
        </row>
        <row r="80">
          <cell r="C80" t="str">
            <v xml:space="preserve"> - </v>
          </cell>
        </row>
        <row r="81">
          <cell r="C81" t="str">
            <v xml:space="preserve"> - </v>
          </cell>
        </row>
        <row r="82">
          <cell r="C82" t="str">
            <v xml:space="preserve"> - </v>
          </cell>
        </row>
        <row r="83">
          <cell r="C83" t="str">
            <v xml:space="preserve"> - </v>
          </cell>
        </row>
        <row r="84">
          <cell r="C84" t="str">
            <v xml:space="preserve"> - </v>
          </cell>
        </row>
        <row r="85">
          <cell r="C85" t="str">
            <v xml:space="preserve"> - </v>
          </cell>
        </row>
        <row r="86">
          <cell r="C86" t="str">
            <v xml:space="preserve"> - </v>
          </cell>
        </row>
        <row r="87">
          <cell r="C87" t="str">
            <v xml:space="preserve"> - </v>
          </cell>
        </row>
        <row r="88">
          <cell r="C88" t="str">
            <v xml:space="preserve"> - </v>
          </cell>
        </row>
        <row r="89">
          <cell r="C89" t="str">
            <v xml:space="preserve"> - </v>
          </cell>
        </row>
        <row r="90">
          <cell r="C90" t="str">
            <v xml:space="preserve"> - </v>
          </cell>
        </row>
        <row r="91">
          <cell r="C91" t="str">
            <v xml:space="preserve"> - </v>
          </cell>
        </row>
        <row r="92">
          <cell r="C92" t="str">
            <v xml:space="preserve"> - </v>
          </cell>
        </row>
        <row r="93">
          <cell r="C93" t="str">
            <v xml:space="preserve"> - </v>
          </cell>
        </row>
        <row r="94">
          <cell r="C94" t="str">
            <v xml:space="preserve"> - </v>
          </cell>
        </row>
        <row r="95">
          <cell r="C95" t="str">
            <v xml:space="preserve"> - </v>
          </cell>
        </row>
        <row r="96">
          <cell r="C96" t="str">
            <v xml:space="preserve"> - </v>
          </cell>
        </row>
        <row r="97">
          <cell r="C97" t="str">
            <v xml:space="preserve"> - </v>
          </cell>
        </row>
        <row r="98">
          <cell r="C98" t="str">
            <v xml:space="preserve"> - 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ductos 01"/>
      <sheetName val="Memoria Descriptiva"/>
      <sheetName val="Resumen Presupuesto"/>
      <sheetName val="PRESUPUESTO GENERAL DE OBRA"/>
      <sheetName val="Análisis_MdeO"/>
      <sheetName val="Lista de Insumos"/>
      <sheetName val="AIU OBRA"/>
      <sheetName val="Análisis de Transporte (2)"/>
      <sheetName val="Memoria Cantidades"/>
      <sheetName val="APUS"/>
    </sheetNames>
    <sheetDataSet>
      <sheetData sheetId="0"/>
      <sheetData sheetId="1">
        <row r="1">
          <cell r="A1" t="str">
            <v>PROGRAMA CONJUNTO INFRAESTRUCTURA PARA EL DESARROLLO RURAL CUMBRE AGRARIA</v>
          </cell>
        </row>
      </sheetData>
      <sheetData sheetId="2">
        <row r="2">
          <cell r="A2" t="str">
            <v>ORGANIZACIÓN NACIONAL INDIGENA DE COLOMBIA</v>
          </cell>
        </row>
      </sheetData>
      <sheetData sheetId="3">
        <row r="11">
          <cell r="B11" t="str">
            <v>PRESUPUESTO BLOQUE ADMINISTRACIÓN Y DIRECCIÓN</v>
          </cell>
        </row>
      </sheetData>
      <sheetData sheetId="4">
        <row r="6">
          <cell r="A6" t="str">
            <v>Básico/principiante</v>
          </cell>
          <cell r="B6">
            <v>1</v>
          </cell>
          <cell r="C6">
            <v>781242</v>
          </cell>
          <cell r="D6">
            <v>88211</v>
          </cell>
          <cell r="E6">
            <v>869453</v>
          </cell>
          <cell r="F6">
            <v>28981.766666666666</v>
          </cell>
          <cell r="G6">
            <v>3622.7208333333333</v>
          </cell>
          <cell r="H6">
            <v>1.74</v>
          </cell>
        </row>
        <row r="7">
          <cell r="A7" t="str">
            <v>Ayudante A</v>
          </cell>
          <cell r="B7">
            <v>1.2</v>
          </cell>
          <cell r="C7">
            <v>937490.4</v>
          </cell>
          <cell r="D7">
            <v>88211</v>
          </cell>
          <cell r="E7">
            <v>1025701.4</v>
          </cell>
          <cell r="F7">
            <v>34190.046666666669</v>
          </cell>
          <cell r="G7">
            <v>4273.7558333333336</v>
          </cell>
          <cell r="H7">
            <v>1.68</v>
          </cell>
        </row>
        <row r="8">
          <cell r="A8" t="str">
            <v>Ayudante B</v>
          </cell>
          <cell r="B8">
            <v>1.5</v>
          </cell>
          <cell r="C8">
            <v>132316.5</v>
          </cell>
          <cell r="D8">
            <v>88211</v>
          </cell>
          <cell r="E8">
            <v>220527.5</v>
          </cell>
          <cell r="F8">
            <v>7350.916666666667</v>
          </cell>
          <cell r="G8">
            <v>918.86458333333337</v>
          </cell>
          <cell r="H8">
            <v>1.64</v>
          </cell>
        </row>
        <row r="9">
          <cell r="A9" t="str">
            <v>Ayudante C</v>
          </cell>
          <cell r="B9">
            <v>1.8</v>
          </cell>
          <cell r="C9">
            <v>1406235.6</v>
          </cell>
          <cell r="D9">
            <v>88211</v>
          </cell>
          <cell r="E9">
            <v>1494446.6</v>
          </cell>
          <cell r="F9">
            <v>49814.886666666673</v>
          </cell>
          <cell r="G9">
            <v>6226.8608333333341</v>
          </cell>
          <cell r="H9">
            <v>1.62</v>
          </cell>
        </row>
        <row r="10">
          <cell r="A10" t="str">
            <v>Oficial A</v>
          </cell>
          <cell r="B10">
            <v>2</v>
          </cell>
          <cell r="C10">
            <v>1562484</v>
          </cell>
          <cell r="D10">
            <v>88211</v>
          </cell>
          <cell r="E10">
            <v>1650695</v>
          </cell>
          <cell r="F10">
            <v>55023.166666666664</v>
          </cell>
          <cell r="G10">
            <v>6877.895833333333</v>
          </cell>
          <cell r="H10">
            <v>1.61</v>
          </cell>
        </row>
        <row r="11">
          <cell r="A11" t="str">
            <v>Oficial B</v>
          </cell>
          <cell r="B11">
            <v>3</v>
          </cell>
          <cell r="C11">
            <v>2343726</v>
          </cell>
          <cell r="D11">
            <v>0</v>
          </cell>
          <cell r="E11">
            <v>2343726</v>
          </cell>
          <cell r="F11">
            <v>78124.2</v>
          </cell>
          <cell r="G11">
            <v>9765.5249999999996</v>
          </cell>
          <cell r="H11">
            <v>1.52</v>
          </cell>
        </row>
        <row r="12">
          <cell r="A12" t="str">
            <v>Oficial C</v>
          </cell>
          <cell r="B12">
            <v>2.5</v>
          </cell>
          <cell r="C12">
            <v>1953105</v>
          </cell>
          <cell r="D12">
            <v>0</v>
          </cell>
          <cell r="E12">
            <v>1953105</v>
          </cell>
          <cell r="F12">
            <v>65103.5</v>
          </cell>
          <cell r="G12">
            <v>8137.9375</v>
          </cell>
          <cell r="H12">
            <v>1.53</v>
          </cell>
        </row>
        <row r="13">
          <cell r="A13" t="str">
            <v>Soldador</v>
          </cell>
          <cell r="B13">
            <v>3.5</v>
          </cell>
          <cell r="C13">
            <v>2734347</v>
          </cell>
          <cell r="D13">
            <v>0</v>
          </cell>
          <cell r="E13">
            <v>2734347</v>
          </cell>
          <cell r="F13">
            <v>91144.9</v>
          </cell>
          <cell r="G13">
            <v>11393.112499999999</v>
          </cell>
          <cell r="H13">
            <v>1.52</v>
          </cell>
        </row>
        <row r="14">
          <cell r="A14" t="str">
            <v>Topografo</v>
          </cell>
          <cell r="B14">
            <v>3.5</v>
          </cell>
          <cell r="C14">
            <v>2734347</v>
          </cell>
          <cell r="D14">
            <v>0</v>
          </cell>
          <cell r="E14">
            <v>2734347</v>
          </cell>
          <cell r="F14">
            <v>91144.9</v>
          </cell>
          <cell r="G14">
            <v>11393.112499999999</v>
          </cell>
          <cell r="H14">
            <v>1.52</v>
          </cell>
        </row>
      </sheetData>
      <sheetData sheetId="5">
        <row r="12">
          <cell r="B12" t="str">
            <v>Cemento gris de 50 kg</v>
          </cell>
        </row>
      </sheetData>
      <sheetData sheetId="6"/>
      <sheetData sheetId="7"/>
      <sheetData sheetId="8"/>
      <sheetData sheetId="9">
        <row r="45">
          <cell r="H45">
            <v>3666568</v>
          </cell>
        </row>
      </sheetData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Management Main"/>
      <sheetName val="PM Framework"/>
      <sheetName val="CHECKLISTS ----&gt;"/>
      <sheetName val="Project Startup Checklist"/>
      <sheetName val="Project Planning Checklist"/>
      <sheetName val="Sponsor Chklst"/>
      <sheetName val="QA Chklst"/>
      <sheetName val="Transition Chklst"/>
      <sheetName val="Proj Closeout Chklst"/>
      <sheetName val="TEMPLATES ----&gt;"/>
      <sheetName val="Project Scope"/>
      <sheetName val="Project Scope Change"/>
      <sheetName val="Status Report"/>
      <sheetName val="Green Light"/>
      <sheetName val="Gantt Chart"/>
      <sheetName val="Activity List"/>
      <sheetName val="Risk Log"/>
      <sheetName val="Issue Log"/>
      <sheetName val="Resource Planning"/>
      <sheetName val="Comm matrix"/>
      <sheetName val="User Forms ----&gt;"/>
      <sheetName val="User Defined 1"/>
      <sheetName val="User Defined 2"/>
      <sheetName val="User Defined 3"/>
      <sheetName val="Guidelines ----&gt;"/>
      <sheetName val="Issue Mgmt"/>
      <sheetName val="Status Reporting"/>
      <sheetName val="Project Scope Changes"/>
      <sheetName val="Roles and Resp"/>
    </sheetNames>
    <sheetDataSet>
      <sheetData sheetId="0">
        <row r="9">
          <cell r="D9" t="str">
            <v>New Project ID</v>
          </cell>
        </row>
        <row r="12">
          <cell r="D12" t="str">
            <v>Manager's Name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atula"/>
      <sheetName val="Insumos"/>
      <sheetName val="Rendimiento"/>
      <sheetName val="Mano de Obra"/>
      <sheetName val="Analisis"/>
      <sheetName val="Resumen"/>
      <sheetName val="Indice"/>
      <sheetName val="Mano_de_Obra"/>
    </sheetNames>
    <sheetDataSet>
      <sheetData sheetId="0"/>
      <sheetData sheetId="1">
        <row r="561">
          <cell r="D561">
            <v>36.01</v>
          </cell>
        </row>
        <row r="568">
          <cell r="D568">
            <v>448000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AZAR"/>
      <sheetName val="13.000.00"/>
      <sheetName val="04.000.00"/>
      <sheetName val="14.000.00"/>
      <sheetName val="INSUMOS"/>
      <sheetName val="09.000.00"/>
      <sheetName val="HORMIGON"/>
      <sheetName val="A.HORMIGON"/>
      <sheetName val="I.HORMIGON"/>
      <sheetName val="A.HOR.2"/>
      <sheetName val="05.000.00"/>
      <sheetName val="007.000.00"/>
      <sheetName val="08.000.00"/>
      <sheetName val="02.000.00"/>
      <sheetName val="NSUMOS MOV DE TIERRAS"/>
      <sheetName val="ANAL MOV. DE TIERRAS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81">
          <cell r="J81">
            <v>69.599999999999994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actores A.N."/>
      <sheetName val="SOPORTES A.N."/>
      <sheetName val="DOMI.STA.CECILIA II"/>
      <sheetName val="ACTA"/>
      <sheetName val="BALANCE FINANCIERO"/>
      <sheetName val="AVANCE"/>
      <sheetName val="E.MERCANCIA"/>
      <sheetName val="tuberia"/>
      <sheetName val="CONT INSP Y ENSAYO"/>
      <sheetName val="factores_A_N_"/>
      <sheetName val="SOPORTES_A_N_"/>
      <sheetName val="DOMI_STA_CECILIA_II"/>
      <sheetName val="BALANCE_FINANCIERO"/>
      <sheetName val="E_MERCANCIA"/>
      <sheetName val="CONT_INSP_Y_ENSAYO"/>
    </sheetNames>
    <sheetDataSet>
      <sheetData sheetId="0" refreshError="1">
        <row r="15">
          <cell r="I15">
            <v>0.54751813668079397</v>
          </cell>
        </row>
        <row r="16">
          <cell r="I16">
            <v>0.67002611682034363</v>
          </cell>
        </row>
        <row r="17">
          <cell r="I17">
            <v>0.80535562905411928</v>
          </cell>
        </row>
        <row r="18">
          <cell r="I18">
            <v>0.89811116639918487</v>
          </cell>
        </row>
        <row r="19">
          <cell r="I19">
            <v>0.9744774270287262</v>
          </cell>
        </row>
        <row r="20">
          <cell r="I20">
            <v>1.1239471251137785</v>
          </cell>
        </row>
        <row r="21">
          <cell r="I21">
            <v>1.2825432987340994</v>
          </cell>
        </row>
        <row r="22">
          <cell r="I22">
            <v>1.4530556979861888</v>
          </cell>
        </row>
        <row r="23">
          <cell r="I23">
            <v>1.6392553722877783</v>
          </cell>
        </row>
        <row r="24">
          <cell r="I24">
            <v>1.8401475946639425</v>
          </cell>
        </row>
        <row r="25">
          <cell r="I25">
            <v>2.4052561673438118</v>
          </cell>
        </row>
        <row r="28">
          <cell r="I28">
            <v>3.6230056809750879</v>
          </cell>
        </row>
        <row r="29">
          <cell r="I29">
            <v>4.2349131863889973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15">
          <cell r="I15">
            <v>0.54751813668079397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</sheetNames>
    <sheetDataSet>
      <sheetData sheetId="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cio"/>
      <sheetName val="Descripción del Proyecto"/>
      <sheetName val="Dosificación Concretos"/>
      <sheetName val="Costo Materiales 2016"/>
      <sheetName val="Costo Maquinaría 2016"/>
      <sheetName val="Costo Herramientas 2016"/>
      <sheetName val="Salarios"/>
      <sheetName val="Costo Cuadrilla"/>
      <sheetName val="TABLAS"/>
      <sheetName val="Carpinteria Metálica y Madera"/>
      <sheetName val="Enchapes"/>
      <sheetName val="APU Maquinarias"/>
      <sheetName val="Acero de Refuerzo"/>
      <sheetName val="Preliminares"/>
      <sheetName val="Demolición y Desmonte"/>
      <sheetName val="Estruc. Concreto"/>
      <sheetName val="Formaleta"/>
      <sheetName val="A.P.U auxiliar"/>
      <sheetName val="Cimentación"/>
      <sheetName val="Vidrio y Espejos"/>
      <sheetName val="Mampostería"/>
      <sheetName val="Acabado de Pisos"/>
      <sheetName val="Aparatos Sanitarios"/>
      <sheetName val="Relleno Material Seleccionado"/>
      <sheetName val="Excavaciones"/>
      <sheetName val="Pisos"/>
      <sheetName val="Instalaciones Hidráulicas"/>
      <sheetName val="Instalaciones Sanitarias"/>
      <sheetName val="Divisiones Modulares"/>
      <sheetName val="Cielo Razo"/>
      <sheetName val="Pintura"/>
      <sheetName val="Impermeabilización"/>
      <sheetName val="Cubierta"/>
      <sheetName val="Instalaciones Electricas"/>
      <sheetName val="Pañetes y Estuco"/>
      <sheetName val="Cerramiento"/>
      <sheetName val="Aseo y Limpieza"/>
      <sheetName val="Gaviones-Bolsacreto-Bolsarena"/>
      <sheetName val="DESPIECE ACEROS"/>
      <sheetName val="CANTIDADES DE OBRA"/>
      <sheetName val="PRESUPUESTO"/>
      <sheetName val="PRECIOS ACTIVIDADES POR INTERN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6">
          <cell r="H6" t="str">
            <v>Calendario</v>
          </cell>
          <cell r="I6" t="str">
            <v>Laboral</v>
          </cell>
          <cell r="J6" t="str">
            <v>Efectiva</v>
          </cell>
        </row>
        <row r="7">
          <cell r="G7">
            <v>1</v>
          </cell>
        </row>
        <row r="8">
          <cell r="G8">
            <v>1.1000000000000001</v>
          </cell>
        </row>
        <row r="9">
          <cell r="G9">
            <v>1.2</v>
          </cell>
        </row>
        <row r="10">
          <cell r="G10">
            <v>1.3</v>
          </cell>
        </row>
        <row r="11">
          <cell r="G11">
            <v>1.4</v>
          </cell>
        </row>
        <row r="12">
          <cell r="G12">
            <v>1.5</v>
          </cell>
        </row>
        <row r="13">
          <cell r="G13">
            <v>1.6</v>
          </cell>
        </row>
        <row r="14">
          <cell r="G14">
            <v>1.7</v>
          </cell>
        </row>
        <row r="15">
          <cell r="G15">
            <v>1.8</v>
          </cell>
        </row>
        <row r="16">
          <cell r="G16">
            <v>1.9</v>
          </cell>
        </row>
        <row r="17">
          <cell r="G17">
            <v>2</v>
          </cell>
        </row>
        <row r="18">
          <cell r="G18">
            <v>2.1</v>
          </cell>
        </row>
        <row r="19">
          <cell r="G19">
            <v>2.2000000000000002</v>
          </cell>
        </row>
        <row r="20">
          <cell r="G20">
            <v>2.2999999999999998</v>
          </cell>
        </row>
        <row r="21">
          <cell r="G21">
            <v>2.4</v>
          </cell>
        </row>
        <row r="22">
          <cell r="G22">
            <v>2.5</v>
          </cell>
        </row>
        <row r="23">
          <cell r="G23">
            <v>2.6</v>
          </cell>
        </row>
        <row r="24">
          <cell r="G24">
            <v>2.7</v>
          </cell>
        </row>
        <row r="25">
          <cell r="G25">
            <v>2.8</v>
          </cell>
        </row>
        <row r="26">
          <cell r="G26">
            <v>2.9</v>
          </cell>
        </row>
        <row r="27">
          <cell r="G27">
            <v>3</v>
          </cell>
        </row>
        <row r="28">
          <cell r="G28">
            <v>3.1</v>
          </cell>
        </row>
        <row r="29">
          <cell r="G29">
            <v>3.2</v>
          </cell>
        </row>
        <row r="30">
          <cell r="G30">
            <v>3.3</v>
          </cell>
        </row>
        <row r="31">
          <cell r="G31">
            <v>3.4</v>
          </cell>
        </row>
        <row r="32">
          <cell r="G32">
            <v>3.5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UBERIA"/>
    </sheetNames>
    <sheetDataSet>
      <sheetData sheetId="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ACTORES"/>
      <sheetName val="TUBERIA"/>
      <sheetName val="ManoObra"/>
      <sheetName val="septiembre"/>
      <sheetName val="octubre impr (2)"/>
      <sheetName val="octubre"/>
      <sheetName val="octubre impr"/>
      <sheetName val="Tabla CONPES 3714"/>
    </sheetNames>
    <sheetDataSet>
      <sheetData sheetId="0" refreshError="1">
        <row r="8">
          <cell r="M8">
            <v>1.6584571641407996E-2</v>
          </cell>
        </row>
        <row r="9">
          <cell r="M9">
            <v>2.2426467938538669E-2</v>
          </cell>
        </row>
        <row r="10">
          <cell r="M10">
            <v>2.8274936599466664E-2</v>
          </cell>
        </row>
        <row r="11">
          <cell r="M11">
            <v>3.829661593736533E-2</v>
          </cell>
        </row>
        <row r="12">
          <cell r="M12">
            <v>4.5516980430421336E-2</v>
          </cell>
        </row>
        <row r="13">
          <cell r="M13">
            <v>5.3258333226048005E-2</v>
          </cell>
        </row>
        <row r="14">
          <cell r="M14">
            <v>6.1634517528832006E-2</v>
          </cell>
        </row>
        <row r="15">
          <cell r="M15">
            <v>7.0733394045866677E-2</v>
          </cell>
        </row>
        <row r="16">
          <cell r="M16">
            <v>9.5576087426047993E-2</v>
          </cell>
        </row>
        <row r="17">
          <cell r="M17">
            <v>0.12212833482117867</v>
          </cell>
        </row>
        <row r="18">
          <cell r="M18">
            <v>0.14359225586346663</v>
          </cell>
        </row>
        <row r="19">
          <cell r="M19">
            <v>0.17174652128076801</v>
          </cell>
        </row>
        <row r="20">
          <cell r="M20">
            <v>0.20882594236319996</v>
          </cell>
        </row>
        <row r="21">
          <cell r="M21">
            <v>0.24948355910860801</v>
          </cell>
        </row>
        <row r="22">
          <cell r="M22">
            <v>0.29331212464947198</v>
          </cell>
        </row>
        <row r="23">
          <cell r="M23">
            <v>0.50414299258879991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monte"/>
      <sheetName val="ESCARIFICACION"/>
      <sheetName val="PR 1"/>
      <sheetName val="PUNITARIOS PARA 241201 2S"/>
      <sheetName val="ESTADO RED TEC"/>
      <sheetName val="items"/>
      <sheetName val="Hoja1"/>
      <sheetName val="A-HOR"/>
      <sheetName val="INSUMOS"/>
      <sheetName val="BANCOS"/>
      <sheetName val="CARGOS"/>
      <sheetName val="EPS"/>
      <sheetName val="PENSIONES"/>
      <sheetName val="PREACTA 10"/>
      <sheetName val="DATOS"/>
      <sheetName val="PREACTA 9"/>
      <sheetName val="Res-Accide-10"/>
      <sheetName val="TARIFAS"/>
      <sheetName val="PRECIOS"/>
      <sheetName val="PREACTA 6"/>
      <sheetName val="TABLA 2008"/>
      <sheetName val="Equipo"/>
      <sheetName val="Listas"/>
      <sheetName val="Excavación Mat. Común Estacione"/>
      <sheetName val="Demolición Pavimento"/>
      <sheetName val="Insum"/>
      <sheetName val="SUB APU"/>
      <sheetName val="TRANSPORTE"/>
      <sheetName val="A. P. U."/>
      <sheetName val="PUNITARIOS%20PARA%20241201%202S"/>
      <sheetName val="RELACION MES"/>
      <sheetName val="PRESUPUESTO"/>
      <sheetName val="ESTADO VÍA-CRIT.TECNICO"/>
      <sheetName val="Lp"/>
      <sheetName val="GCB2000"/>
      <sheetName val="FORMULA"/>
      <sheetName val="CLASIFICACION"/>
      <sheetName val="5. ELECTRICO"/>
      <sheetName val="A.P.U"/>
      <sheetName val="2,2,6,1 Pilotes 0,30"/>
      <sheetName val="REC-COD,"/>
      <sheetName val=" Liquidacion de Obra por Tramos"/>
      <sheetName val="Presup_Cancha"/>
      <sheetName val="CRA.MODI"/>
      <sheetName val="K16+000 AL K18+500"/>
      <sheetName val="K23+200 AL K24+700"/>
      <sheetName val="k18+500 AL K23+050"/>
      <sheetName val="Presupuesto PUENTE"/>
      <sheetName val="VOLUMENES (4)"/>
      <sheetName val="VOLUMENES (4SA)"/>
      <sheetName val="c2.5y2.6"/>
      <sheetName val="ESTADO_RED_TEC"/>
      <sheetName val="PR_1"/>
      <sheetName val="PUNITARIOS_PARA_241201_2S"/>
      <sheetName val="PREACTA_10"/>
      <sheetName val="PREACTA_9"/>
      <sheetName val="ESTADO_RED_TEC1"/>
      <sheetName val="PR_11"/>
      <sheetName val="PUNITARIOS_PARA_241201_2S1"/>
      <sheetName val="PREACTA_101"/>
      <sheetName val="PREACTA_91"/>
      <sheetName val="ESTADO_RED_TEC2"/>
      <sheetName val="PR_12"/>
      <sheetName val="PUNITARIOS_PARA_241201_2S2"/>
      <sheetName val="PREACTA_102"/>
      <sheetName val="PREACTA_92"/>
      <sheetName val="ESTADO_RED_TEC3"/>
      <sheetName val="PR_13"/>
      <sheetName val="PUNITARIOS_PARA_241201_2S3"/>
      <sheetName val="PREACTA_103"/>
      <sheetName val="PREACTA_93"/>
      <sheetName val="ESTADO_RED_TEC4"/>
      <sheetName val="PR_14"/>
      <sheetName val="PUNITARIOS_PARA_241201_2S4"/>
      <sheetName val="PREACTA_104"/>
      <sheetName val="PREACTA_94"/>
      <sheetName val="ESTADO_RED_TEC5"/>
      <sheetName val="PR_15"/>
      <sheetName val="PUNITARIOS_PARA_241201_2S5"/>
      <sheetName val="PREACTA_105"/>
      <sheetName val="PREACTA_95"/>
      <sheetName val="ESTADO_RED_TEC8"/>
      <sheetName val="PR_18"/>
      <sheetName val="PUNITARIOS_PARA_241201_2S8"/>
      <sheetName val="PREACTA_108"/>
      <sheetName val="PREACTA_98"/>
      <sheetName val="ESTADO_RED_TEC6"/>
      <sheetName val="PR_16"/>
      <sheetName val="PUNITARIOS_PARA_241201_2S6"/>
      <sheetName val="PREACTA_106"/>
      <sheetName val="PREACTA_96"/>
      <sheetName val="ESTADO_RED_TEC7"/>
      <sheetName val="PR_17"/>
      <sheetName val="PUNITARIOS_PARA_241201_2S7"/>
      <sheetName val="PREACTA_107"/>
      <sheetName val="PREACTA_97"/>
      <sheetName val="PUNITARIOS_PARA_241201_2S9"/>
      <sheetName val="PR_19"/>
      <sheetName val="ESTADO_RED_TEC9"/>
      <sheetName val="PREACTA_109"/>
      <sheetName val="PREACTA_99"/>
      <sheetName val="062"/>
      <sheetName val="LISTA DE PRECIOS"/>
      <sheetName val="Listado"/>
      <sheetName val="Bajadas"/>
      <sheetName val="NARIÑO"/>
      <sheetName val="CODCONST"/>
      <sheetName val="PREACTA Y CONTRATISTAS"/>
      <sheetName val="OCTUBRE"/>
      <sheetName val="FINANC"/>
      <sheetName val="TODAS"/>
      <sheetName val="PUNITARIOS_PARA_241201_2S10"/>
      <sheetName val="PR_110"/>
      <sheetName val="ESTADO_RED_TEC10"/>
      <sheetName val="PREACTA_1010"/>
      <sheetName val="PREACTA_910"/>
      <sheetName val="TRAPMO"/>
      <sheetName val="c2_5y2_6"/>
      <sheetName val="c2_5y2_62"/>
      <sheetName val="c2_5y2_61"/>
      <sheetName val="c2_5y2_63"/>
      <sheetName val="c2_5y2_65"/>
      <sheetName val="c2_5y2_64"/>
      <sheetName val="c2_5y2_66"/>
      <sheetName val="c2_5y2_67"/>
      <sheetName val="c2_5y2_68"/>
      <sheetName val="c2_5y2_69"/>
      <sheetName val="c2_5y2_610"/>
      <sheetName val="UNITARIOS"/>
      <sheetName val="THE"/>
      <sheetName val="ATHE"/>
      <sheetName val="DEST. MEDIOS"/>
      <sheetName val="COMBUASF"/>
      <sheetName val="BALCRUDO"/>
      <sheetName val="CARGASPROC."/>
      <sheetName val="G L P  FINAL"/>
      <sheetName val="OBRAS SES"/>
      <sheetName val="Summary"/>
      <sheetName val="skj452"/>
      <sheetName val="ita878"/>
      <sheetName val="aea-944"/>
      <sheetName val="dub-823"/>
      <sheetName val="gpi 526"/>
      <sheetName val="xxj617"/>
      <sheetName val="sng_855"/>
      <sheetName val="vea 374"/>
      <sheetName val="hfb024"/>
      <sheetName val="paj825"/>
      <sheetName val="PUNITARIOS_PARA_241201_2S13"/>
      <sheetName val="PR_113"/>
      <sheetName val="ESTADO_RED_TEC13"/>
      <sheetName val="PREACTA_1013"/>
      <sheetName val="PREACTA_913"/>
      <sheetName val="ESTADO_RED_TEC11"/>
      <sheetName val="PR_111"/>
      <sheetName val="PUNITARIOS_PARA_241201_2S11"/>
      <sheetName val="PREACTA_1011"/>
      <sheetName val="PREACTA_911"/>
      <sheetName val="PUNITARIOS_PARA_241201_2S12"/>
      <sheetName val="PR_112"/>
      <sheetName val="ESTADO_RED_TEC12"/>
      <sheetName val="PREACTA_1012"/>
      <sheetName val="PREACTA_912"/>
      <sheetName val="PREACTA_6"/>
      <sheetName val="Requisición1"/>
      <sheetName val="c2_5y2_613"/>
      <sheetName val="PREACTA_62"/>
      <sheetName val="TABLA_20082"/>
      <sheetName val="c2_5y2_612"/>
      <sheetName val="PREACTA_61"/>
      <sheetName val="TABLA_20081"/>
      <sheetName val="c2_5y2_611"/>
      <sheetName val="TABLA_2008"/>
      <sheetName val="BALANCE"/>
      <sheetName val="ITEMS NO REVISTOS"/>
      <sheetName val="APU ELECTRICOS"/>
      <sheetName val="ESTADO_RED_TEC14"/>
      <sheetName val="PUNITARIOS_PARA_241201_2S14"/>
      <sheetName val="PR_114"/>
      <sheetName val="PREACTA_1014"/>
      <sheetName val="PREACTA_914"/>
      <sheetName val="c2_5y2_614"/>
      <sheetName val="PREACTA_63"/>
      <sheetName val="TABLA_20083"/>
      <sheetName val="Proveedores y acreedores"/>
      <sheetName val="Hoja2"/>
      <sheetName val="Cuadr."/>
      <sheetName val="PUNITARIOS PARA 241201 2S.xls"/>
      <sheetName val="A_P_U1"/>
      <sheetName val="A_P_U"/>
      <sheetName val="materiales"/>
      <sheetName val="otros"/>
      <sheetName val="SALARIOS"/>
      <sheetName val="SUB_APU"/>
      <sheetName val="ESTADO_VÍA-CRIT_TECNICO"/>
      <sheetName val="7.1.8.1.1"/>
      <sheetName val="PERSONAL"/>
      <sheetName val="Tarifa MT"/>
      <sheetName val="PLAN DE INVERSION ANTICIPO"/>
      <sheetName val="inv mensual"/>
      <sheetName val="borrador flujo inv"/>
      <sheetName val="social-ambiental"/>
      <sheetName val="AU"/>
      <sheetName val="factor"/>
      <sheetName val="APU NO PREVISTO"/>
      <sheetName val="PPTA (3)"/>
      <sheetName val="PPTA (2)"/>
      <sheetName val="PPTA"/>
    </sheetNames>
    <sheetDataSet>
      <sheetData sheetId="0" refreshError="1">
        <row r="48">
          <cell r="E48">
            <v>6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/>
      <sheetData sheetId="114"/>
      <sheetData sheetId="115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 refreshError="1"/>
      <sheetData sheetId="155"/>
      <sheetData sheetId="156" refreshError="1"/>
      <sheetData sheetId="157"/>
      <sheetData sheetId="158"/>
      <sheetData sheetId="159"/>
      <sheetData sheetId="160"/>
      <sheetData sheetId="16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/>
      <sheetData sheetId="189"/>
      <sheetData sheetId="190" refreshError="1"/>
      <sheetData sheetId="191" refreshError="1"/>
      <sheetData sheetId="192" refreshError="1"/>
      <sheetData sheetId="193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 refreshError="1"/>
      <sheetData sheetId="204"/>
      <sheetData sheetId="205"/>
      <sheetData sheetId="206"/>
      <sheetData sheetId="207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ón General"/>
      <sheetName val="AIU"/>
      <sheetName val="Presup_Cancha"/>
      <sheetName val="1_Preliminares"/>
      <sheetName val="2_Cimentación_Est.Met"/>
      <sheetName val="3_HS"/>
      <sheetName val="Apus_In.Elect"/>
      <sheetName val="Apus_Cubierta"/>
      <sheetName val="Apus_Dotación_Pintura"/>
      <sheetName val="Insumos"/>
      <sheetName val="Equipo_Trans "/>
      <sheetName val="M.Obra"/>
    </sheetNames>
    <sheetDataSet>
      <sheetData sheetId="0"/>
      <sheetData sheetId="1"/>
      <sheetData sheetId="2">
        <row r="13">
          <cell r="J13" t="str">
            <v>M³</v>
          </cell>
        </row>
        <row r="14">
          <cell r="J14" t="str">
            <v>M²</v>
          </cell>
        </row>
        <row r="15">
          <cell r="J15" t="str">
            <v>M</v>
          </cell>
        </row>
        <row r="16">
          <cell r="J16" t="str">
            <v>Kg</v>
          </cell>
        </row>
        <row r="17">
          <cell r="J17" t="str">
            <v>Un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ón General"/>
      <sheetName val="AIU"/>
      <sheetName val="Presup_Cancha"/>
      <sheetName val="1_Preliminares"/>
      <sheetName val="2_Cimentación_Est.Met"/>
      <sheetName val="3_HS"/>
      <sheetName val="Apus_In.Elect"/>
      <sheetName val="Apus_Cubierta"/>
      <sheetName val="Apus_Dotación_Pintura"/>
      <sheetName val="Insumos"/>
      <sheetName val="Equipo_Trans "/>
      <sheetName val="M.Obra"/>
    </sheetNames>
    <sheetDataSet>
      <sheetData sheetId="0"/>
      <sheetData sheetId="1"/>
      <sheetData sheetId="2">
        <row r="13">
          <cell r="J13" t="str">
            <v>M³</v>
          </cell>
        </row>
        <row r="14">
          <cell r="J14" t="str">
            <v>M²</v>
          </cell>
        </row>
        <row r="15">
          <cell r="J15" t="str">
            <v>M</v>
          </cell>
        </row>
        <row r="16">
          <cell r="J16" t="str">
            <v>Kg</v>
          </cell>
        </row>
        <row r="17">
          <cell r="J17" t="str">
            <v>Un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ón General"/>
      <sheetName val="AIU"/>
      <sheetName val="Presup_Cancha"/>
      <sheetName val="1_Preliminares"/>
      <sheetName val="2_Cimentación_Est.Met"/>
      <sheetName val="3_HS"/>
      <sheetName val="Apus_In.Elect"/>
      <sheetName val="Apus_Cubierta"/>
      <sheetName val="Apus_Dotación_Pintura"/>
      <sheetName val="Insumos"/>
      <sheetName val="Equipo_Trans "/>
      <sheetName val="M.Obra"/>
    </sheetNames>
    <sheetDataSet>
      <sheetData sheetId="0"/>
      <sheetData sheetId="1"/>
      <sheetData sheetId="2">
        <row r="13">
          <cell r="J13" t="str">
            <v>M³</v>
          </cell>
        </row>
        <row r="14">
          <cell r="J14" t="str">
            <v>M²</v>
          </cell>
        </row>
        <row r="15">
          <cell r="J15" t="str">
            <v>M</v>
          </cell>
        </row>
        <row r="16">
          <cell r="J16" t="str">
            <v>Kg</v>
          </cell>
        </row>
        <row r="17">
          <cell r="J17" t="str">
            <v>Un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ECINA"/>
    </sheet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TO"/>
      <sheetName val="CANT"/>
      <sheetName val="APU"/>
      <sheetName val="MATERIALES"/>
      <sheetName val="APU AUX"/>
      <sheetName val="AIU "/>
      <sheetName val="CRONOGRAMA"/>
      <sheetName val="CUADRILLAS"/>
    </sheetNames>
    <sheetDataSet>
      <sheetData sheetId="0">
        <row r="2">
          <cell r="B2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4">
          <cell r="B4">
            <v>1</v>
          </cell>
          <cell r="C4" t="str">
            <v>OBRAS PRELIMINARES</v>
          </cell>
        </row>
        <row r="5">
          <cell r="B5">
            <v>1.01</v>
          </cell>
          <cell r="C5" t="str">
            <v>Localizacion, Trazado y replanteo</v>
          </cell>
          <cell r="D5" t="str">
            <v>m2</v>
          </cell>
          <cell r="E5">
            <v>1500</v>
          </cell>
          <cell r="G5">
            <v>8472000</v>
          </cell>
        </row>
        <row r="6">
          <cell r="B6">
            <v>1.02</v>
          </cell>
          <cell r="C6" t="str">
            <v>Descapote y limpieza del terreno donde se desarrolla el proyecto. Incluye transporte y disposición final de los materiales.</v>
          </cell>
          <cell r="D6" t="str">
            <v>m2</v>
          </cell>
          <cell r="E6">
            <v>936</v>
          </cell>
          <cell r="G6">
            <v>30699864</v>
          </cell>
        </row>
        <row r="7">
          <cell r="B7">
            <v>2</v>
          </cell>
          <cell r="C7" t="str">
            <v>EXCAVACION Y LLENOS</v>
          </cell>
        </row>
        <row r="8">
          <cell r="B8">
            <v>2.0099999999999998</v>
          </cell>
          <cell r="C8" t="str">
            <v>EXCAVACIÓN DE MATERIAL HETEROGENEO DE 0-3 m., con material seco. Incluye: roca descompuesta, bolas de roca de volumen inferior a 0.35 m³., el cargue, transporte interno y externo, botada de material proveniente de las excavaciones en los sitios donde lo indique la interventoría y su medida será en el sitio. No incluye entibado.</v>
          </cell>
          <cell r="D8" t="str">
            <v>m3</v>
          </cell>
          <cell r="E8">
            <v>3750</v>
          </cell>
          <cell r="G8">
            <v>251865000</v>
          </cell>
        </row>
        <row r="9">
          <cell r="B9">
            <v>2.02</v>
          </cell>
          <cell r="C9" t="str">
            <v>LLENO CON MATERIAL SELECCIONADO, compactado mecánicamente hasta obtener una densidad optima. Incluye transporte del material. Su medida será en sitio ya compactado.</v>
          </cell>
          <cell r="D9" t="str">
            <v>m3</v>
          </cell>
          <cell r="E9">
            <v>172.8</v>
          </cell>
          <cell r="G9">
            <v>15802733</v>
          </cell>
        </row>
        <row r="10">
          <cell r="B10">
            <v>3</v>
          </cell>
          <cell r="C10" t="str">
            <v xml:space="preserve">CONSTRUCCION DE FILTROS HORIZONTALES </v>
          </cell>
        </row>
        <row r="11">
          <cell r="B11">
            <v>3.01</v>
          </cell>
          <cell r="C11" t="str">
            <v xml:space="preserve">Construccion de filtros horizontales para el manejo y control de lixiviados </v>
          </cell>
          <cell r="D11" t="str">
            <v>m</v>
          </cell>
          <cell r="E11">
            <v>112</v>
          </cell>
          <cell r="G11">
            <v>3448368</v>
          </cell>
        </row>
        <row r="12">
          <cell r="B12">
            <v>3.02</v>
          </cell>
          <cell r="C12" t="str">
            <v>Excavación en material común para zanjas y filtros de 0 a 2.00 mts.</v>
          </cell>
          <cell r="D12" t="str">
            <v xml:space="preserve">m3 </v>
          </cell>
          <cell r="E12">
            <v>17.920000000000002</v>
          </cell>
          <cell r="G12">
            <v>1086149</v>
          </cell>
        </row>
        <row r="13">
          <cell r="B13">
            <v>3.03</v>
          </cell>
          <cell r="C13" t="str">
            <v>Suministro, transporte y colocación de material friltrante (gravilla seleccionada de 4 a 6")</v>
          </cell>
          <cell r="D13" t="str">
            <v>m3</v>
          </cell>
          <cell r="E13">
            <v>17.920000000000002</v>
          </cell>
          <cell r="G13">
            <v>3271188</v>
          </cell>
        </row>
        <row r="14">
          <cell r="B14">
            <v>4</v>
          </cell>
          <cell r="C14" t="str">
            <v xml:space="preserve">CONSTRUCCION DE FILTROS VERTICALES </v>
          </cell>
        </row>
        <row r="15">
          <cell r="B15">
            <v>4.01</v>
          </cell>
          <cell r="C15" t="str">
            <v>Construcción de filtros verticales (chimeneas para el control y evacuación de gases 0.40*0.40*3.00). Incluye canastillas, material friltrante y tuberia de 4" y demas elementos para su instalacion y puesta en funcionamiento</v>
          </cell>
          <cell r="D15" t="str">
            <v>UN</v>
          </cell>
          <cell r="E15">
            <v>9</v>
          </cell>
          <cell r="G15">
            <v>2768796</v>
          </cell>
        </row>
        <row r="16">
          <cell r="B16">
            <v>5</v>
          </cell>
          <cell r="C16" t="str">
            <v xml:space="preserve">OBRAS ADICIONALES </v>
          </cell>
        </row>
        <row r="17">
          <cell r="B17">
            <v>5.01</v>
          </cell>
          <cell r="C17" t="str">
            <v>Suministro e instalación de la geomembrana Textil HR - 30.000 Espesor 0,75 ml para la impermeabilización</v>
          </cell>
          <cell r="D17" t="str">
            <v>m2</v>
          </cell>
          <cell r="E17">
            <v>2109</v>
          </cell>
          <cell r="G17">
            <v>55475136</v>
          </cell>
        </row>
        <row r="18">
          <cell r="B18">
            <v>5.0199999999999996</v>
          </cell>
          <cell r="C18" t="str">
            <v>Excavación de cunetas para tuberías de lixiviados y pozo de recirculación de lixiviados</v>
          </cell>
          <cell r="D18" t="str">
            <v>m3</v>
          </cell>
          <cell r="E18">
            <v>4.8</v>
          </cell>
          <cell r="G18">
            <v>312854</v>
          </cell>
        </row>
        <row r="19">
          <cell r="B19">
            <v>5.03</v>
          </cell>
          <cell r="C19" t="str">
            <v xml:space="preserve">Suministro e instalación de tubería sanitaria de 4" para recolección de lixiviados. </v>
          </cell>
          <cell r="D19" t="str">
            <v>m</v>
          </cell>
          <cell r="E19">
            <v>10</v>
          </cell>
          <cell r="G19">
            <v>385300</v>
          </cell>
        </row>
        <row r="20">
          <cell r="B20">
            <v>5.04</v>
          </cell>
          <cell r="C20" t="str">
            <v xml:space="preserve">Construcción de cuarto de máquinas. </v>
          </cell>
          <cell r="D20" t="str">
            <v>UN</v>
          </cell>
          <cell r="E20">
            <v>1</v>
          </cell>
          <cell r="G20">
            <v>1475892</v>
          </cell>
        </row>
        <row r="21">
          <cell r="B21">
            <v>5.05</v>
          </cell>
          <cell r="C21" t="str">
            <v>Suministro e instalación de moto bomba de 2x2 autocebante para la evacuación de tanques de los lixiviados</v>
          </cell>
          <cell r="D21" t="str">
            <v>UN</v>
          </cell>
          <cell r="E21">
            <v>1</v>
          </cell>
          <cell r="G21">
            <v>4210402</v>
          </cell>
        </row>
        <row r="22">
          <cell r="B22">
            <v>5.0599999999999996</v>
          </cell>
          <cell r="C22" t="str">
            <v xml:space="preserve">Suministro e instalación de Manguera de 2" Descarga Plana 2 Tipo Bombero. </v>
          </cell>
          <cell r="D22" t="str">
            <v>M</v>
          </cell>
          <cell r="E22">
            <v>70</v>
          </cell>
          <cell r="G22">
            <v>1600690</v>
          </cell>
        </row>
        <row r="23">
          <cell r="B23">
            <v>5.07</v>
          </cell>
          <cell r="C23" t="str">
            <v xml:space="preserve">Construccion de Caja de inspeccion de 1,0x1,0x1,0 m, en concreto de 21 MPa, Incluye excavacion, formaleta, acero, suministro, transporte e instalación del concreto, mano de obra, vibrado, curado y protección. </v>
          </cell>
          <cell r="D23" t="str">
            <v>UN</v>
          </cell>
          <cell r="E23">
            <v>1</v>
          </cell>
          <cell r="G23">
            <v>1986664</v>
          </cell>
        </row>
        <row r="24">
          <cell r="B24">
            <v>5.08</v>
          </cell>
          <cell r="C24" t="str">
            <v xml:space="preserve">Construccion de tanque de recoleccion y almacenamiento de lixiviados de 2.0x3.0x3.0 m, en concreto de 21 Mpa,  Incluye excavacion, formaleta, acero, suministro, transporte e instalación del concreto, mano de obra, vibrado, curado y protección.  </v>
          </cell>
          <cell r="D24" t="str">
            <v>UN</v>
          </cell>
          <cell r="E24">
            <v>1</v>
          </cell>
          <cell r="G24">
            <v>9662076</v>
          </cell>
        </row>
        <row r="25">
          <cell r="B25">
            <v>5.09</v>
          </cell>
          <cell r="C25" t="str">
            <v xml:space="preserve">Suministro e instalacion de valla informativa </v>
          </cell>
          <cell r="D25" t="str">
            <v>UN</v>
          </cell>
          <cell r="E25">
            <v>1</v>
          </cell>
          <cell r="G25">
            <v>1327001</v>
          </cell>
        </row>
        <row r="26">
          <cell r="B26">
            <v>6</v>
          </cell>
          <cell r="C26" t="str">
            <v>CERRAMIENTO PIREMETRAL</v>
          </cell>
        </row>
        <row r="27">
          <cell r="B27">
            <v>6.01</v>
          </cell>
          <cell r="C27" t="str">
            <v xml:space="preserve">Construcción de cerramiento en alambre de puas </v>
          </cell>
          <cell r="D27" t="str">
            <v>m</v>
          </cell>
          <cell r="E27">
            <v>115</v>
          </cell>
          <cell r="G27">
            <v>1280985</v>
          </cell>
        </row>
        <row r="29">
          <cell r="C29" t="str">
            <v xml:space="preserve">COSTOS DIRECTOS </v>
          </cell>
          <cell r="G29">
            <v>395131098</v>
          </cell>
        </row>
        <row r="30">
          <cell r="C30" t="str">
            <v>ADMINISTRACION</v>
          </cell>
        </row>
        <row r="31">
          <cell r="C31" t="str">
            <v>UTILIDAD</v>
          </cell>
        </row>
        <row r="32">
          <cell r="C32" t="str">
            <v>Total</v>
          </cell>
        </row>
        <row r="34">
          <cell r="D34" t="str">
            <v>Interventoria</v>
          </cell>
        </row>
        <row r="36">
          <cell r="D36" t="str">
            <v>Valor total del proyecto</v>
          </cell>
        </row>
      </sheetData>
      <sheetData sheetId="1">
        <row r="9">
          <cell r="A9">
            <v>1</v>
          </cell>
          <cell r="B9" t="str">
            <v>OBRAS PRELIMINARES</v>
          </cell>
        </row>
        <row r="11">
          <cell r="A11">
            <v>1.01</v>
          </cell>
          <cell r="B11" t="str">
            <v>Localizacion, Trazado y replanteo</v>
          </cell>
          <cell r="D11" t="str">
            <v>m2</v>
          </cell>
          <cell r="P11">
            <v>1500</v>
          </cell>
        </row>
        <row r="12">
          <cell r="D12" t="str">
            <v>m2</v>
          </cell>
          <cell r="P12">
            <v>1500</v>
          </cell>
        </row>
        <row r="13">
          <cell r="D13" t="str">
            <v>m2</v>
          </cell>
          <cell r="P13">
            <v>0</v>
          </cell>
        </row>
        <row r="17">
          <cell r="A17">
            <v>1.02</v>
          </cell>
          <cell r="B17" t="str">
            <v>Descapote y limpieza del terreno donde se desarrolla el proyecto. Incluye transporte y disposición final de los materiales.</v>
          </cell>
          <cell r="D17" t="str">
            <v>m2</v>
          </cell>
          <cell r="P17">
            <v>936</v>
          </cell>
        </row>
        <row r="18">
          <cell r="D18" t="str">
            <v>m2</v>
          </cell>
          <cell r="P18">
            <v>936</v>
          </cell>
        </row>
        <row r="19">
          <cell r="P19">
            <v>0</v>
          </cell>
        </row>
        <row r="22">
          <cell r="A22">
            <v>2</v>
          </cell>
          <cell r="B22" t="str">
            <v>EXCAVACION Y LLENOS</v>
          </cell>
        </row>
        <row r="24">
          <cell r="A24">
            <v>2.0099999999999998</v>
          </cell>
          <cell r="B24" t="str">
            <v>EXCAVACIÓN DE MATERIAL HETEROGENEO DE 0-3 m., con material seco. Incluye: roca descompuesta, bolas de roca de volumen inferior a 0.35 m³., el cargue, transporte interno y externo, botada de material proveniente de las excavaciones en los sitios donde lo indique la interventoría y su medida será en el sitio. No incluye entibado.</v>
          </cell>
          <cell r="D24" t="str">
            <v>m3</v>
          </cell>
          <cell r="P24">
            <v>3750</v>
          </cell>
        </row>
        <row r="25">
          <cell r="D25" t="str">
            <v>m3</v>
          </cell>
          <cell r="P25">
            <v>3750</v>
          </cell>
        </row>
        <row r="26">
          <cell r="P26">
            <v>0</v>
          </cell>
        </row>
        <row r="27">
          <cell r="P27">
            <v>0</v>
          </cell>
        </row>
        <row r="28">
          <cell r="P28">
            <v>0</v>
          </cell>
        </row>
        <row r="30">
          <cell r="A30">
            <v>2.02</v>
          </cell>
          <cell r="B30" t="str">
            <v>LLENO CON MATERIAL SELECCIONADO, compactado mecánicamente hasta obtener una densidad optima. Incluye transporte del material. Su medida será en sitio ya compactado.</v>
          </cell>
          <cell r="D30" t="str">
            <v>m3</v>
          </cell>
          <cell r="P30">
            <v>172.8</v>
          </cell>
        </row>
        <row r="31">
          <cell r="D31" t="str">
            <v>m3</v>
          </cell>
          <cell r="P31">
            <v>172.79999999999998</v>
          </cell>
        </row>
        <row r="32">
          <cell r="P32">
            <v>0</v>
          </cell>
        </row>
        <row r="33">
          <cell r="P33">
            <v>0</v>
          </cell>
        </row>
        <row r="36">
          <cell r="A36">
            <v>3</v>
          </cell>
          <cell r="B36" t="str">
            <v xml:space="preserve">CONSTRUCCION DE FILTROS HORIZONTALES </v>
          </cell>
        </row>
        <row r="39">
          <cell r="A39">
            <v>3.01</v>
          </cell>
          <cell r="B39" t="str">
            <v xml:space="preserve">Construccion de filtros horizontales para el manejo y control de lixiviados </v>
          </cell>
          <cell r="D39" t="str">
            <v>m</v>
          </cell>
          <cell r="P39">
            <v>112</v>
          </cell>
        </row>
        <row r="40">
          <cell r="D40" t="str">
            <v>m</v>
          </cell>
          <cell r="P40">
            <v>112</v>
          </cell>
        </row>
        <row r="41">
          <cell r="P41">
            <v>0</v>
          </cell>
        </row>
        <row r="42">
          <cell r="P42">
            <v>0</v>
          </cell>
        </row>
        <row r="44">
          <cell r="A44">
            <v>3.02</v>
          </cell>
          <cell r="B44" t="str">
            <v>Excavación en material común para zanjas y filtros de 0 a 2.00 mts.</v>
          </cell>
          <cell r="D44" t="str">
            <v xml:space="preserve">m3 </v>
          </cell>
          <cell r="P44">
            <v>17.920000000000002</v>
          </cell>
        </row>
        <row r="45">
          <cell r="D45" t="str">
            <v>m3</v>
          </cell>
          <cell r="P45">
            <v>17.920000000000002</v>
          </cell>
        </row>
        <row r="46">
          <cell r="P46">
            <v>0</v>
          </cell>
        </row>
        <row r="47">
          <cell r="P47">
            <v>0</v>
          </cell>
        </row>
        <row r="48">
          <cell r="P48">
            <v>0</v>
          </cell>
        </row>
        <row r="50">
          <cell r="A50">
            <v>3.03</v>
          </cell>
          <cell r="B50" t="str">
            <v>Suministro, transporte y colocación de material friltrante (gravilla seleccionada de 4 a 6")</v>
          </cell>
          <cell r="D50" t="str">
            <v>m3</v>
          </cell>
          <cell r="P50">
            <v>17.920000000000002</v>
          </cell>
        </row>
        <row r="51">
          <cell r="A51" t="str">
            <v>,</v>
          </cell>
          <cell r="D51" t="str">
            <v>m3</v>
          </cell>
          <cell r="P51">
            <v>17.920000000000002</v>
          </cell>
        </row>
        <row r="52">
          <cell r="P52">
            <v>0</v>
          </cell>
        </row>
        <row r="53">
          <cell r="P53">
            <v>0</v>
          </cell>
        </row>
        <row r="54">
          <cell r="P54">
            <v>0</v>
          </cell>
        </row>
        <row r="55">
          <cell r="P55">
            <v>0</v>
          </cell>
        </row>
        <row r="57">
          <cell r="A57">
            <v>4</v>
          </cell>
          <cell r="B57" t="str">
            <v xml:space="preserve">CONSTRUCCION DE FILTROS VERTICALES </v>
          </cell>
        </row>
        <row r="59">
          <cell r="A59">
            <v>4.01</v>
          </cell>
          <cell r="B59" t="str">
            <v>Construcción de filtros verticales (chimeneas para el control y evacuación de gases 0.40*0.40*3.00). Incluye canastillas, material friltrante y tuberia de 4" y demas elementos para su instalacion y puesta en funcionamiento</v>
          </cell>
          <cell r="D59" t="str">
            <v>UN</v>
          </cell>
          <cell r="P59">
            <v>9</v>
          </cell>
        </row>
        <row r="60">
          <cell r="D60" t="str">
            <v>Und</v>
          </cell>
          <cell r="P60">
            <v>9</v>
          </cell>
        </row>
        <row r="61">
          <cell r="P61">
            <v>0</v>
          </cell>
        </row>
        <row r="62">
          <cell r="P62">
            <v>0</v>
          </cell>
        </row>
        <row r="64">
          <cell r="B64" t="str">
            <v>Suministro, transporte y colocación de material friltrante (gravilla seleccionada de 4 a 6")</v>
          </cell>
          <cell r="D64" t="str">
            <v>m3</v>
          </cell>
          <cell r="P64">
            <v>1.73</v>
          </cell>
        </row>
        <row r="65">
          <cell r="D65" t="str">
            <v>M3</v>
          </cell>
          <cell r="P65">
            <v>1.7279999999999998</v>
          </cell>
        </row>
        <row r="66">
          <cell r="P66">
            <v>0</v>
          </cell>
        </row>
        <row r="67">
          <cell r="P67">
            <v>0</v>
          </cell>
        </row>
        <row r="69">
          <cell r="B69" t="str">
            <v>Canastilla para empaquetamiento de chimeneas. Incluye malla gallinero y alambre.</v>
          </cell>
          <cell r="D69" t="str">
            <v>UN</v>
          </cell>
          <cell r="P69">
            <v>9</v>
          </cell>
        </row>
        <row r="70">
          <cell r="A70" t="str">
            <v>,</v>
          </cell>
          <cell r="D70" t="str">
            <v>UND</v>
          </cell>
          <cell r="P70">
            <v>9</v>
          </cell>
        </row>
        <row r="71">
          <cell r="P71">
            <v>0</v>
          </cell>
        </row>
        <row r="72">
          <cell r="P72">
            <v>0</v>
          </cell>
        </row>
        <row r="74">
          <cell r="A74">
            <v>5</v>
          </cell>
          <cell r="B74" t="str">
            <v xml:space="preserve">OBRAS ADICIONALES </v>
          </cell>
        </row>
        <row r="76">
          <cell r="A76">
            <v>5.01</v>
          </cell>
          <cell r="B76" t="str">
            <v>Suministro e instalación de la geomembrana Textil HR - 30.000 Espesor 0,75 ml para la impermeabilización</v>
          </cell>
          <cell r="D76" t="str">
            <v>m2</v>
          </cell>
          <cell r="P76">
            <v>2109</v>
          </cell>
        </row>
        <row r="77">
          <cell r="D77" t="str">
            <v>m2</v>
          </cell>
          <cell r="P77">
            <v>2109</v>
          </cell>
        </row>
        <row r="78">
          <cell r="P78">
            <v>0</v>
          </cell>
        </row>
        <row r="79">
          <cell r="P79">
            <v>0</v>
          </cell>
        </row>
        <row r="81">
          <cell r="A81">
            <v>5.0199999999999996</v>
          </cell>
          <cell r="B81" t="str">
            <v>Excavación de cunetas para tuberías de lixiviados y pozo de recirculación de lixiviados</v>
          </cell>
          <cell r="D81" t="str">
            <v>m3</v>
          </cell>
          <cell r="P81">
            <v>4.8</v>
          </cell>
        </row>
        <row r="82">
          <cell r="D82" t="str">
            <v>M3</v>
          </cell>
          <cell r="P82">
            <v>4.8</v>
          </cell>
        </row>
        <row r="83">
          <cell r="P83">
            <v>0</v>
          </cell>
        </row>
        <row r="84">
          <cell r="P84">
            <v>0</v>
          </cell>
        </row>
        <row r="86">
          <cell r="A86">
            <v>5.03</v>
          </cell>
          <cell r="B86" t="str">
            <v xml:space="preserve">Suministro e instalación de tubería sanitaria de 4" para recolección de lixiviados. </v>
          </cell>
          <cell r="D86" t="str">
            <v>m</v>
          </cell>
          <cell r="P86">
            <v>10</v>
          </cell>
        </row>
        <row r="87">
          <cell r="D87" t="str">
            <v>M</v>
          </cell>
          <cell r="P87">
            <v>10</v>
          </cell>
        </row>
        <row r="88">
          <cell r="P88">
            <v>0</v>
          </cell>
        </row>
        <row r="89">
          <cell r="P89">
            <v>0</v>
          </cell>
        </row>
        <row r="91">
          <cell r="A91">
            <v>5.04</v>
          </cell>
          <cell r="B91" t="str">
            <v xml:space="preserve">Construcción de cuarto de máquinas. </v>
          </cell>
          <cell r="D91" t="str">
            <v>UN</v>
          </cell>
          <cell r="P91">
            <v>1</v>
          </cell>
        </row>
        <row r="92">
          <cell r="D92" t="str">
            <v>UND</v>
          </cell>
          <cell r="P92">
            <v>1</v>
          </cell>
        </row>
        <row r="93">
          <cell r="P93">
            <v>0</v>
          </cell>
        </row>
        <row r="94">
          <cell r="P94">
            <v>0</v>
          </cell>
        </row>
        <row r="96">
          <cell r="A96">
            <v>5.05</v>
          </cell>
          <cell r="B96" t="str">
            <v>Suministro e instalación de moto bomba de 2x2 autocebante para la evacuación de tanques de los lixiviados</v>
          </cell>
          <cell r="D96" t="str">
            <v>UN</v>
          </cell>
          <cell r="P96">
            <v>1</v>
          </cell>
        </row>
        <row r="97">
          <cell r="D97" t="str">
            <v>UND</v>
          </cell>
          <cell r="P97">
            <v>1</v>
          </cell>
        </row>
        <row r="98">
          <cell r="P98">
            <v>0</v>
          </cell>
        </row>
        <row r="99">
          <cell r="P99">
            <v>0</v>
          </cell>
        </row>
        <row r="101">
          <cell r="A101">
            <v>5.0599999999999996</v>
          </cell>
          <cell r="B101" t="str">
            <v xml:space="preserve">Suministro e instalación de Manguera de 2" Descarga Plana 2 Tipo Bombero. </v>
          </cell>
          <cell r="D101" t="str">
            <v>M</v>
          </cell>
          <cell r="P101">
            <v>70</v>
          </cell>
        </row>
        <row r="102">
          <cell r="D102" t="str">
            <v>M</v>
          </cell>
          <cell r="P102">
            <v>70</v>
          </cell>
        </row>
        <row r="103">
          <cell r="P103">
            <v>0</v>
          </cell>
        </row>
        <row r="104">
          <cell r="P104">
            <v>0</v>
          </cell>
        </row>
        <row r="106">
          <cell r="A106">
            <v>5.07</v>
          </cell>
          <cell r="B106" t="str">
            <v xml:space="preserve">Construccion de Caja de inspeccion de 1,0x1,0x1,0 m, en concreto de 21 MPa, Incluye excavacion, formaleta, acero, suministro, transporte e instalación del concreto, mano de obra, vibrado, curado y protección. </v>
          </cell>
          <cell r="D106" t="str">
            <v>UN</v>
          </cell>
          <cell r="P106">
            <v>1</v>
          </cell>
        </row>
        <row r="107">
          <cell r="D107" t="str">
            <v>UND</v>
          </cell>
          <cell r="P107">
            <v>1</v>
          </cell>
        </row>
        <row r="108">
          <cell r="P108">
            <v>0</v>
          </cell>
        </row>
        <row r="109">
          <cell r="P109">
            <v>0</v>
          </cell>
        </row>
        <row r="111">
          <cell r="A111">
            <v>5.08</v>
          </cell>
          <cell r="B111" t="str">
            <v xml:space="preserve">Construccion de tanque de recoleccion y almacenamiento de lixiviados de 2.0x3.0x3.0 m, en concreto de 21 Mpa,  Incluye excavacion, formaleta, acero, suministro, transporte e instalación del concreto, mano de obra, vibrado, curado y protección.  </v>
          </cell>
          <cell r="D111" t="str">
            <v>UN</v>
          </cell>
          <cell r="P111">
            <v>1</v>
          </cell>
        </row>
        <row r="112">
          <cell r="D112" t="str">
            <v>UND</v>
          </cell>
          <cell r="P112">
            <v>1</v>
          </cell>
        </row>
        <row r="113">
          <cell r="P113">
            <v>0</v>
          </cell>
        </row>
        <row r="114">
          <cell r="P114">
            <v>0</v>
          </cell>
        </row>
        <row r="117">
          <cell r="A117">
            <v>5.09</v>
          </cell>
          <cell r="B117" t="str">
            <v xml:space="preserve">Suministro e instalacion de valla informativa </v>
          </cell>
          <cell r="D117" t="str">
            <v>UN</v>
          </cell>
          <cell r="P117">
            <v>1</v>
          </cell>
        </row>
        <row r="118">
          <cell r="D118" t="str">
            <v>UND</v>
          </cell>
          <cell r="P118">
            <v>1</v>
          </cell>
        </row>
        <row r="119">
          <cell r="P119">
            <v>0</v>
          </cell>
        </row>
        <row r="120">
          <cell r="P120">
            <v>0</v>
          </cell>
        </row>
        <row r="123">
          <cell r="A123">
            <v>6</v>
          </cell>
          <cell r="B123" t="str">
            <v>CERRAMIENTO PIREMETRAL</v>
          </cell>
        </row>
        <row r="125">
          <cell r="A125">
            <v>6.01</v>
          </cell>
          <cell r="B125" t="str">
            <v xml:space="preserve">Construcción de cerramiento en alambre de puas </v>
          </cell>
          <cell r="D125" t="str">
            <v>m</v>
          </cell>
          <cell r="P125">
            <v>115</v>
          </cell>
        </row>
        <row r="126">
          <cell r="D126" t="str">
            <v>m</v>
          </cell>
          <cell r="P126">
            <v>115</v>
          </cell>
        </row>
        <row r="127">
          <cell r="P127">
            <v>0</v>
          </cell>
        </row>
        <row r="129">
          <cell r="A129">
            <v>7</v>
          </cell>
          <cell r="B129" t="str">
            <v xml:space="preserve">PRELIMINARES </v>
          </cell>
        </row>
        <row r="131">
          <cell r="A131">
            <v>7.01</v>
          </cell>
          <cell r="B131" t="str">
            <v xml:space="preserve">Recolección, remoción y compactación de residuos sólidos </v>
          </cell>
          <cell r="D131" t="str">
            <v>m3</v>
          </cell>
          <cell r="P131">
            <v>1842.68</v>
          </cell>
        </row>
        <row r="132">
          <cell r="D132" t="str">
            <v>m3</v>
          </cell>
          <cell r="P132">
            <v>1842.6799999999998</v>
          </cell>
        </row>
        <row r="133">
          <cell r="P133">
            <v>0</v>
          </cell>
        </row>
        <row r="135">
          <cell r="A135">
            <v>7.02</v>
          </cell>
          <cell r="B135" t="str">
            <v xml:space="preserve">Suministro e instalación de Geotextil </v>
          </cell>
          <cell r="D135" t="str">
            <v>m2</v>
          </cell>
          <cell r="P135">
            <v>2105.92</v>
          </cell>
        </row>
        <row r="136">
          <cell r="D136" t="str">
            <v>M2</v>
          </cell>
          <cell r="P136">
            <v>2105.92</v>
          </cell>
        </row>
        <row r="137">
          <cell r="P137">
            <v>0</v>
          </cell>
        </row>
        <row r="139">
          <cell r="A139">
            <v>7.03</v>
          </cell>
          <cell r="B139" t="str">
            <v xml:space="preserve">Construcción de sistema de cobertura final mediante suministro e instalación de material seleccionado </v>
          </cell>
          <cell r="D139" t="str">
            <v>m2</v>
          </cell>
          <cell r="P139">
            <v>2105.92</v>
          </cell>
        </row>
        <row r="140">
          <cell r="D140" t="str">
            <v>M2</v>
          </cell>
          <cell r="P140">
            <v>2105.92</v>
          </cell>
        </row>
        <row r="141">
          <cell r="P141">
            <v>0</v>
          </cell>
        </row>
        <row r="143">
          <cell r="A143">
            <v>7.04</v>
          </cell>
          <cell r="B143" t="str">
            <v>Instalación de chimenea de de venteo de Biogas</v>
          </cell>
          <cell r="D143" t="str">
            <v>UN</v>
          </cell>
          <cell r="P143">
            <v>1</v>
          </cell>
        </row>
        <row r="144">
          <cell r="D144" t="str">
            <v>UND</v>
          </cell>
          <cell r="P144">
            <v>1</v>
          </cell>
        </row>
        <row r="145">
          <cell r="P145">
            <v>0</v>
          </cell>
        </row>
        <row r="147">
          <cell r="A147">
            <v>7.05</v>
          </cell>
          <cell r="B147" t="str">
            <v>Implementación de sistema de manejo de lixiviados</v>
          </cell>
          <cell r="D147" t="str">
            <v>UN</v>
          </cell>
          <cell r="P147">
            <v>1</v>
          </cell>
        </row>
        <row r="148">
          <cell r="D148" t="str">
            <v>UND</v>
          </cell>
          <cell r="P148">
            <v>1</v>
          </cell>
        </row>
        <row r="149">
          <cell r="P149">
            <v>0</v>
          </cell>
        </row>
        <row r="151">
          <cell r="A151">
            <v>7.06</v>
          </cell>
          <cell r="B151" t="str">
            <v>Construcción de canales de drenaje pluvial</v>
          </cell>
          <cell r="D151" t="str">
            <v>m</v>
          </cell>
          <cell r="P151">
            <v>160</v>
          </cell>
        </row>
        <row r="152">
          <cell r="D152" t="str">
            <v>M</v>
          </cell>
          <cell r="P152">
            <v>160</v>
          </cell>
        </row>
        <row r="153">
          <cell r="P153">
            <v>0</v>
          </cell>
        </row>
        <row r="155">
          <cell r="A155">
            <v>7.07</v>
          </cell>
          <cell r="B155" t="str">
            <v xml:space="preserve">Revegetacion de Area clausurada </v>
          </cell>
          <cell r="D155" t="str">
            <v>m2</v>
          </cell>
          <cell r="P155">
            <v>2105.92</v>
          </cell>
        </row>
        <row r="156">
          <cell r="D156" t="str">
            <v>M2</v>
          </cell>
          <cell r="P156">
            <v>2105.92</v>
          </cell>
        </row>
        <row r="157">
          <cell r="P157">
            <v>0</v>
          </cell>
        </row>
        <row r="168">
          <cell r="D168">
            <v>11.199999999999998</v>
          </cell>
        </row>
      </sheetData>
      <sheetData sheetId="2">
        <row r="3">
          <cell r="A3" t="str">
            <v xml:space="preserve">ITEM:  </v>
          </cell>
          <cell r="B3" t="str">
            <v>DESCRIPCION</v>
          </cell>
          <cell r="I3" t="str">
            <v>UNIDAD:</v>
          </cell>
          <cell r="J3" t="str">
            <v>COSTO DIRECTO</v>
          </cell>
        </row>
        <row r="4">
          <cell r="A4">
            <v>1.01</v>
          </cell>
          <cell r="B4" t="str">
            <v>Localizacion, Trazado y replanteo</v>
          </cell>
          <cell r="I4" t="str">
            <v>m2</v>
          </cell>
          <cell r="J4">
            <v>5648</v>
          </cell>
        </row>
        <row r="5">
          <cell r="A5" t="str">
            <v>I. EQUIPO</v>
          </cell>
        </row>
        <row r="6">
          <cell r="A6" t="str">
            <v>Descripción</v>
          </cell>
          <cell r="F6" t="str">
            <v>Tipo</v>
          </cell>
          <cell r="G6" t="str">
            <v>Tarifa/dia</v>
          </cell>
          <cell r="H6" t="str">
            <v>Rendimiento</v>
          </cell>
          <cell r="I6" t="str">
            <v>Valor-Unit.</v>
          </cell>
        </row>
        <row r="7">
          <cell r="A7" t="str">
            <v>Herramienta menor (% Mano de obra)</v>
          </cell>
          <cell r="G7">
            <v>0.05</v>
          </cell>
          <cell r="I7">
            <v>206</v>
          </cell>
        </row>
        <row r="8">
          <cell r="I8">
            <v>0</v>
          </cell>
        </row>
        <row r="12">
          <cell r="A12" t="str">
            <v>Sub-Total</v>
          </cell>
          <cell r="J12">
            <v>206</v>
          </cell>
        </row>
        <row r="13">
          <cell r="A13" t="str">
            <v>II. MATERIALES EN OBRA</v>
          </cell>
        </row>
        <row r="14">
          <cell r="A14" t="str">
            <v>Descripción</v>
          </cell>
          <cell r="E14" t="str">
            <v>Unidad</v>
          </cell>
          <cell r="F14" t="str">
            <v>Precio-Unit.</v>
          </cell>
          <cell r="G14" t="str">
            <v>Cantidad</v>
          </cell>
          <cell r="H14" t="str">
            <v>Desperdicio</v>
          </cell>
          <cell r="I14" t="str">
            <v>Valor-Unit.</v>
          </cell>
        </row>
        <row r="15">
          <cell r="A15" t="str">
            <v>Liston 2" x 2" x 3m</v>
          </cell>
          <cell r="E15" t="str">
            <v>UN</v>
          </cell>
          <cell r="F15">
            <v>18000</v>
          </cell>
          <cell r="G15">
            <v>0.05</v>
          </cell>
          <cell r="H15">
            <v>0.05</v>
          </cell>
          <cell r="I15">
            <v>945</v>
          </cell>
        </row>
        <row r="16">
          <cell r="A16" t="str">
            <v>Clavos común 2 a 3½"</v>
          </cell>
          <cell r="E16" t="str">
            <v>libra</v>
          </cell>
          <cell r="F16">
            <v>4500</v>
          </cell>
          <cell r="G16">
            <v>0.08</v>
          </cell>
          <cell r="H16">
            <v>0.05</v>
          </cell>
          <cell r="I16">
            <v>378</v>
          </cell>
        </row>
        <row r="17">
          <cell r="I17">
            <v>0</v>
          </cell>
        </row>
        <row r="19">
          <cell r="A19" t="str">
            <v>Sub-Total</v>
          </cell>
          <cell r="J19">
            <v>1323</v>
          </cell>
        </row>
        <row r="20">
          <cell r="A20" t="str">
            <v>III. TRANSPORTES</v>
          </cell>
        </row>
        <row r="21">
          <cell r="A21" t="str">
            <v>Material</v>
          </cell>
          <cell r="E21" t="str">
            <v>TIPO</v>
          </cell>
          <cell r="F21" t="str">
            <v>Vol. Peso ó Cant.</v>
          </cell>
          <cell r="G21" t="str">
            <v>Distancia</v>
          </cell>
          <cell r="H21" t="str">
            <v>Tarifa</v>
          </cell>
          <cell r="I21" t="str">
            <v>Valor-Unit.</v>
          </cell>
        </row>
        <row r="26">
          <cell r="I26" t="str">
            <v>Sub-Total</v>
          </cell>
          <cell r="J26">
            <v>0</v>
          </cell>
        </row>
        <row r="27">
          <cell r="A27" t="str">
            <v>IV. MANO DE OBRA</v>
          </cell>
        </row>
        <row r="28">
          <cell r="A28" t="str">
            <v>Trabajador</v>
          </cell>
          <cell r="E28" t="str">
            <v>Jornal</v>
          </cell>
          <cell r="F28" t="str">
            <v>Prestaciones</v>
          </cell>
          <cell r="G28" t="str">
            <v>Jornal Total</v>
          </cell>
          <cell r="H28" t="str">
            <v>Rendimiento</v>
          </cell>
          <cell r="I28" t="str">
            <v>Valor-Unit.</v>
          </cell>
        </row>
        <row r="29">
          <cell r="A29" t="str">
            <v>OFICIAL B</v>
          </cell>
          <cell r="D29">
            <v>1</v>
          </cell>
          <cell r="E29">
            <v>142350</v>
          </cell>
          <cell r="F29">
            <v>1.5821008628015805</v>
          </cell>
          <cell r="G29">
            <v>225212.05781980499</v>
          </cell>
          <cell r="H29">
            <v>100</v>
          </cell>
          <cell r="I29">
            <v>2252</v>
          </cell>
        </row>
        <row r="30">
          <cell r="A30" t="str">
            <v xml:space="preserve"> AYUDANTE RASO</v>
          </cell>
          <cell r="D30">
            <v>2</v>
          </cell>
          <cell r="E30">
            <v>54117</v>
          </cell>
          <cell r="F30">
            <v>1.7246636834087141</v>
          </cell>
          <cell r="G30">
            <v>186667.24911005876</v>
          </cell>
          <cell r="H30">
            <v>100</v>
          </cell>
          <cell r="I30">
            <v>1867</v>
          </cell>
        </row>
        <row r="31">
          <cell r="E31" t="str">
            <v/>
          </cell>
          <cell r="F31" t="str">
            <v/>
          </cell>
          <cell r="G31" t="str">
            <v/>
          </cell>
        </row>
        <row r="33">
          <cell r="A33" t="str">
            <v>Sub-Total</v>
          </cell>
          <cell r="J33">
            <v>4119</v>
          </cell>
        </row>
        <row r="34">
          <cell r="A34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36">
          <cell r="A36" t="str">
            <v xml:space="preserve">ITEM:  </v>
          </cell>
          <cell r="B36" t="str">
            <v>DESCRIPCION</v>
          </cell>
          <cell r="I36" t="str">
            <v>UNIDAD:</v>
          </cell>
          <cell r="J36" t="str">
            <v>COSTO DIRECTO</v>
          </cell>
        </row>
        <row r="37">
          <cell r="A37">
            <v>1.02</v>
          </cell>
          <cell r="B37" t="str">
            <v>Descapote y limpieza del terreno donde se desarrolla el proyecto. Incluye transporte y disposición final de los materiales.</v>
          </cell>
          <cell r="I37" t="str">
            <v>m2</v>
          </cell>
          <cell r="J37">
            <v>32799</v>
          </cell>
        </row>
        <row r="38">
          <cell r="A38" t="str">
            <v>I. EQUIPO</v>
          </cell>
        </row>
        <row r="39">
          <cell r="A39" t="str">
            <v>Descripción</v>
          </cell>
          <cell r="F39" t="str">
            <v>Tipo</v>
          </cell>
          <cell r="G39" t="str">
            <v>Tarifa/dia</v>
          </cell>
          <cell r="H39" t="str">
            <v>Rendimiento</v>
          </cell>
          <cell r="I39" t="str">
            <v>Valor-Unit.</v>
          </cell>
        </row>
        <row r="40">
          <cell r="A40" t="str">
            <v>Herramienta menor (% Mano de obra)</v>
          </cell>
          <cell r="G40">
            <v>0.05</v>
          </cell>
          <cell r="I40">
            <v>173</v>
          </cell>
        </row>
        <row r="41">
          <cell r="A41" t="str">
            <v xml:space="preserve">RETRO EXCAVADORA </v>
          </cell>
          <cell r="F41" t="str">
            <v>DIA</v>
          </cell>
          <cell r="G41">
            <v>3500000</v>
          </cell>
          <cell r="H41">
            <v>7.6923076923076927E-3</v>
          </cell>
          <cell r="I41">
            <v>26923</v>
          </cell>
        </row>
        <row r="42">
          <cell r="F42" t="str">
            <v/>
          </cell>
          <cell r="G42" t="str">
            <v/>
          </cell>
          <cell r="H42" t="str">
            <v/>
          </cell>
          <cell r="I42" t="str">
            <v/>
          </cell>
        </row>
        <row r="45">
          <cell r="A45" t="str">
            <v>Sub-Total</v>
          </cell>
          <cell r="J45">
            <v>27096</v>
          </cell>
        </row>
        <row r="46">
          <cell r="A46" t="str">
            <v>II. MATERIALES EN OBRA</v>
          </cell>
        </row>
        <row r="47">
          <cell r="A47" t="str">
            <v>Descripción</v>
          </cell>
          <cell r="E47" t="str">
            <v>Unidad</v>
          </cell>
          <cell r="F47" t="str">
            <v>Precio-Unit.</v>
          </cell>
          <cell r="G47" t="str">
            <v>Cantidad</v>
          </cell>
          <cell r="H47" t="str">
            <v>Desperdicio</v>
          </cell>
          <cell r="I47" t="str">
            <v>Valor-Unit.</v>
          </cell>
        </row>
        <row r="48">
          <cell r="E48" t="str">
            <v/>
          </cell>
          <cell r="F48" t="str">
            <v/>
          </cell>
          <cell r="I48" t="str">
            <v/>
          </cell>
        </row>
        <row r="49">
          <cell r="E49" t="str">
            <v/>
          </cell>
          <cell r="F49" t="str">
            <v/>
          </cell>
          <cell r="I49" t="str">
            <v/>
          </cell>
        </row>
        <row r="50">
          <cell r="E50" t="str">
            <v/>
          </cell>
          <cell r="F50" t="str">
            <v/>
          </cell>
          <cell r="I50" t="str">
            <v/>
          </cell>
        </row>
        <row r="51">
          <cell r="I51">
            <v>0</v>
          </cell>
        </row>
        <row r="52">
          <cell r="I52">
            <v>0</v>
          </cell>
        </row>
        <row r="53">
          <cell r="A53" t="str">
            <v>Sub-Total</v>
          </cell>
          <cell r="J53">
            <v>0</v>
          </cell>
        </row>
        <row r="54">
          <cell r="A54" t="str">
            <v>III. TRANSPORTES</v>
          </cell>
        </row>
        <row r="55">
          <cell r="A55" t="str">
            <v>Material</v>
          </cell>
          <cell r="E55" t="str">
            <v>TIPO</v>
          </cell>
          <cell r="F55" t="str">
            <v>Vol. Peso ó Cant.</v>
          </cell>
          <cell r="G55" t="str">
            <v>Distancia</v>
          </cell>
          <cell r="H55" t="str">
            <v>Tarifa</v>
          </cell>
          <cell r="I55" t="str">
            <v>Valor-Unit.</v>
          </cell>
        </row>
        <row r="56">
          <cell r="A56" t="str">
            <v>TRANSPORTE DISPOSICION DE MATERIAL SOBRANTE</v>
          </cell>
          <cell r="E56" t="str">
            <v>M3</v>
          </cell>
          <cell r="F56">
            <v>0.15</v>
          </cell>
          <cell r="G56">
            <v>5</v>
          </cell>
          <cell r="H56">
            <v>3000</v>
          </cell>
          <cell r="I56">
            <v>2250</v>
          </cell>
        </row>
        <row r="60">
          <cell r="A60" t="str">
            <v>Sub-Total</v>
          </cell>
          <cell r="J60">
            <v>2250</v>
          </cell>
        </row>
        <row r="61">
          <cell r="A61" t="str">
            <v>IV. MANO DE OBRA</v>
          </cell>
        </row>
        <row r="62">
          <cell r="A62" t="str">
            <v>Trabajador</v>
          </cell>
          <cell r="E62" t="str">
            <v>Jornal</v>
          </cell>
          <cell r="F62" t="str">
            <v>Prestaciones</v>
          </cell>
          <cell r="G62" t="str">
            <v>Jornal Total</v>
          </cell>
          <cell r="H62" t="str">
            <v>Rendimiento</v>
          </cell>
          <cell r="I62" t="str">
            <v>Valor-Unit.</v>
          </cell>
        </row>
        <row r="63">
          <cell r="A63" t="str">
            <v>OFICIAL B</v>
          </cell>
          <cell r="D63">
            <v>1</v>
          </cell>
          <cell r="E63">
            <v>142350</v>
          </cell>
          <cell r="F63">
            <v>1.5821008628015805</v>
          </cell>
          <cell r="G63">
            <v>225212.05781980499</v>
          </cell>
          <cell r="H63">
            <v>130</v>
          </cell>
          <cell r="I63">
            <v>1732</v>
          </cell>
        </row>
        <row r="64">
          <cell r="A64" t="str">
            <v>AYUDANTE ENTENDIDO</v>
          </cell>
          <cell r="D64">
            <v>1</v>
          </cell>
          <cell r="E64">
            <v>77842</v>
          </cell>
          <cell r="F64">
            <v>1.6752877632282406</v>
          </cell>
          <cell r="G64">
            <v>130407.75006521271</v>
          </cell>
          <cell r="H64">
            <v>130</v>
          </cell>
          <cell r="I64">
            <v>1003</v>
          </cell>
        </row>
        <row r="65">
          <cell r="A65" t="str">
            <v xml:space="preserve"> AYUDANTE RASO</v>
          </cell>
          <cell r="D65">
            <v>1</v>
          </cell>
          <cell r="E65">
            <v>54117</v>
          </cell>
          <cell r="F65">
            <v>1.7246636834087141</v>
          </cell>
          <cell r="G65">
            <v>93333.624555029382</v>
          </cell>
          <cell r="H65">
            <v>130</v>
          </cell>
          <cell r="I65">
            <v>718</v>
          </cell>
        </row>
        <row r="67">
          <cell r="A67" t="str">
            <v>Sub-Total</v>
          </cell>
          <cell r="J67">
            <v>3453</v>
          </cell>
        </row>
        <row r="68">
          <cell r="A68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70">
          <cell r="A70" t="str">
            <v xml:space="preserve">ITEM:  </v>
          </cell>
          <cell r="B70" t="str">
            <v>DESCRIPCION</v>
          </cell>
          <cell r="I70" t="str">
            <v>UNIDAD:</v>
          </cell>
          <cell r="J70" t="str">
            <v>COSTO DIRECTO</v>
          </cell>
        </row>
        <row r="71">
          <cell r="A71">
            <v>2.0099999999999998</v>
          </cell>
          <cell r="B71" t="str">
            <v>EXCAVACIÓN DE MATERIAL HETEROGENEO DE 0-3 m., con material seco. Incluye: roca descompuesta, bolas de roca de volumen inferior a 0.35 m³., el cargue, transporte interno y externo, botada de material proveniente de las excavaciones en los sitios donde lo indique la interventoría y su medida será en el sitio. No incluye entibado.</v>
          </cell>
          <cell r="I71" t="str">
            <v>m3</v>
          </cell>
          <cell r="J71">
            <v>67164</v>
          </cell>
        </row>
        <row r="72">
          <cell r="A72" t="str">
            <v>I. EQUIPO</v>
          </cell>
        </row>
        <row r="73">
          <cell r="A73" t="str">
            <v>Descripción</v>
          </cell>
          <cell r="F73" t="str">
            <v>Tipo</v>
          </cell>
          <cell r="G73" t="str">
            <v>Tarifa/dia</v>
          </cell>
          <cell r="H73" t="str">
            <v>Rendimiento</v>
          </cell>
          <cell r="I73" t="str">
            <v>Valor-Unit.</v>
          </cell>
        </row>
        <row r="74">
          <cell r="A74" t="str">
            <v>Herramienta menor (% Mano de obra)</v>
          </cell>
          <cell r="G74">
            <v>0.05</v>
          </cell>
          <cell r="I74">
            <v>186.37147956695293</v>
          </cell>
        </row>
        <row r="75">
          <cell r="A75" t="str">
            <v xml:space="preserve">RETRO EXCAVADORA </v>
          </cell>
          <cell r="F75" t="str">
            <v>DIA</v>
          </cell>
          <cell r="G75">
            <v>3500000</v>
          </cell>
          <cell r="H75">
            <v>1.2500000000000001E-2</v>
          </cell>
          <cell r="I75">
            <v>43750</v>
          </cell>
        </row>
        <row r="76">
          <cell r="F76" t="str">
            <v/>
          </cell>
          <cell r="G76" t="str">
            <v/>
          </cell>
          <cell r="H76" t="str">
            <v/>
          </cell>
          <cell r="I76" t="str">
            <v/>
          </cell>
        </row>
        <row r="77">
          <cell r="H77" t="str">
            <v/>
          </cell>
        </row>
        <row r="79">
          <cell r="A79" t="str">
            <v>Sub-Total</v>
          </cell>
          <cell r="J79">
            <v>43936.371479566951</v>
          </cell>
        </row>
        <row r="80">
          <cell r="A80" t="str">
            <v>II. MATERIALES EN OBRA</v>
          </cell>
        </row>
        <row r="81">
          <cell r="A81" t="str">
            <v>Descripción</v>
          </cell>
          <cell r="E81" t="str">
            <v>Unidad</v>
          </cell>
          <cell r="F81" t="str">
            <v>Precio-Unit.</v>
          </cell>
          <cell r="G81" t="str">
            <v>Cantidad</v>
          </cell>
          <cell r="H81" t="str">
            <v>Desperdicio</v>
          </cell>
          <cell r="I81" t="str">
            <v>Valor-Unit.</v>
          </cell>
        </row>
        <row r="82">
          <cell r="E82" t="str">
            <v/>
          </cell>
          <cell r="F82" t="str">
            <v/>
          </cell>
          <cell r="I82" t="str">
            <v/>
          </cell>
        </row>
        <row r="83">
          <cell r="E83" t="str">
            <v/>
          </cell>
          <cell r="F83" t="str">
            <v/>
          </cell>
          <cell r="I83" t="str">
            <v/>
          </cell>
        </row>
        <row r="84">
          <cell r="E84" t="str">
            <v/>
          </cell>
          <cell r="F84" t="str">
            <v/>
          </cell>
          <cell r="I84" t="str">
            <v/>
          </cell>
        </row>
        <row r="85">
          <cell r="E85" t="str">
            <v/>
          </cell>
          <cell r="F85" t="str">
            <v/>
          </cell>
          <cell r="I85" t="str">
            <v/>
          </cell>
        </row>
        <row r="86">
          <cell r="E86" t="str">
            <v/>
          </cell>
          <cell r="F86" t="str">
            <v/>
          </cell>
          <cell r="I86" t="str">
            <v/>
          </cell>
        </row>
        <row r="87">
          <cell r="A87" t="str">
            <v>Sub-Total</v>
          </cell>
          <cell r="J87">
            <v>0</v>
          </cell>
        </row>
        <row r="88">
          <cell r="A88" t="str">
            <v>III. TRANSPORTES</v>
          </cell>
        </row>
        <row r="89">
          <cell r="A89" t="str">
            <v>Material</v>
          </cell>
          <cell r="E89" t="str">
            <v>TIPO</v>
          </cell>
          <cell r="F89" t="str">
            <v>Vol. Peso ó Cant.</v>
          </cell>
          <cell r="G89" t="str">
            <v>Distancia</v>
          </cell>
          <cell r="H89" t="str">
            <v>Tarifa</v>
          </cell>
          <cell r="I89" t="str">
            <v>Valor-Unit.</v>
          </cell>
        </row>
        <row r="90">
          <cell r="A90" t="str">
            <v>TRANSPORTE DISPOSICION DE MATERIAL SOBRANTE</v>
          </cell>
          <cell r="E90" t="str">
            <v>M3</v>
          </cell>
          <cell r="F90">
            <v>1.3</v>
          </cell>
          <cell r="G90">
            <v>5</v>
          </cell>
          <cell r="H90">
            <v>3000</v>
          </cell>
          <cell r="I90">
            <v>19500</v>
          </cell>
        </row>
        <row r="91">
          <cell r="E91" t="str">
            <v/>
          </cell>
          <cell r="G91" t="str">
            <v/>
          </cell>
          <cell r="H91" t="str">
            <v/>
          </cell>
          <cell r="I91" t="str">
            <v/>
          </cell>
        </row>
        <row r="94">
          <cell r="A94" t="str">
            <v>Sub-Total</v>
          </cell>
          <cell r="J94">
            <v>19500</v>
          </cell>
        </row>
        <row r="95">
          <cell r="A95" t="str">
            <v>IV. MANO DE OBRA</v>
          </cell>
        </row>
        <row r="96">
          <cell r="A96" t="str">
            <v>Trabajador</v>
          </cell>
          <cell r="E96" t="str">
            <v>Jornal</v>
          </cell>
          <cell r="F96" t="str">
            <v>Prestaciones</v>
          </cell>
          <cell r="G96" t="str">
            <v>Jornal Total</v>
          </cell>
          <cell r="H96" t="str">
            <v>Rendimiento</v>
          </cell>
          <cell r="I96" t="str">
            <v>Valor-Unit.</v>
          </cell>
        </row>
        <row r="97">
          <cell r="A97" t="str">
            <v>OFICIAL A</v>
          </cell>
          <cell r="D97">
            <v>1</v>
          </cell>
          <cell r="E97">
            <v>101567</v>
          </cell>
          <cell r="F97">
            <v>1.6519796512835072</v>
          </cell>
          <cell r="G97">
            <v>167786.61724191197</v>
          </cell>
          <cell r="H97">
            <v>80</v>
          </cell>
          <cell r="I97">
            <v>2097.3327155238994</v>
          </cell>
        </row>
        <row r="98">
          <cell r="A98" t="str">
            <v>AYUDANTE ENTENDIDO</v>
          </cell>
          <cell r="D98">
            <v>1</v>
          </cell>
          <cell r="E98">
            <v>77842</v>
          </cell>
          <cell r="F98">
            <v>1.6752877632282406</v>
          </cell>
          <cell r="G98">
            <v>130407.75006521271</v>
          </cell>
          <cell r="H98">
            <v>80</v>
          </cell>
          <cell r="I98">
            <v>1630.0968758151589</v>
          </cell>
        </row>
        <row r="99">
          <cell r="E99" t="str">
            <v/>
          </cell>
          <cell r="F99" t="str">
            <v/>
          </cell>
          <cell r="G99" t="str">
            <v/>
          </cell>
          <cell r="I99" t="str">
            <v/>
          </cell>
        </row>
        <row r="101">
          <cell r="A101" t="str">
            <v>Sub-Total</v>
          </cell>
          <cell r="J101">
            <v>3727.4295913390583</v>
          </cell>
        </row>
        <row r="102">
          <cell r="A102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104">
          <cell r="A104" t="str">
            <v xml:space="preserve">ITEM:  </v>
          </cell>
          <cell r="B104" t="str">
            <v>DESCRIPCION</v>
          </cell>
          <cell r="I104" t="str">
            <v>UNIDAD:</v>
          </cell>
          <cell r="J104" t="str">
            <v>COSTO DIRECTO</v>
          </cell>
        </row>
        <row r="105">
          <cell r="A105">
            <v>2.02</v>
          </cell>
          <cell r="B105" t="str">
            <v>LLENO CON MATERIAL SELECCIONADO, compactado mecánicamente hasta obtener una densidad optima. Incluye transporte del material. Su medida será en sitio ya compactado.</v>
          </cell>
          <cell r="I105" t="str">
            <v>m3</v>
          </cell>
          <cell r="J105">
            <v>91451</v>
          </cell>
        </row>
        <row r="106">
          <cell r="A106" t="str">
            <v>I. EQUIPO</v>
          </cell>
        </row>
        <row r="107">
          <cell r="A107" t="str">
            <v>Descripción</v>
          </cell>
          <cell r="F107" t="str">
            <v>Tipo</v>
          </cell>
          <cell r="G107" t="str">
            <v>Tarifa/dia</v>
          </cell>
          <cell r="H107" t="str">
            <v>Rendimiento</v>
          </cell>
          <cell r="I107" t="str">
            <v>Valor-Unit.</v>
          </cell>
        </row>
        <row r="108">
          <cell r="A108" t="str">
            <v>Herramienta menor (% Mano de obra)</v>
          </cell>
          <cell r="G108">
            <v>0.05</v>
          </cell>
          <cell r="I108">
            <v>108.80010074872558</v>
          </cell>
        </row>
        <row r="109">
          <cell r="A109" t="str">
            <v xml:space="preserve">RETRO EXCAVADORA </v>
          </cell>
          <cell r="F109" t="str">
            <v>DIA</v>
          </cell>
          <cell r="G109">
            <v>3500000</v>
          </cell>
          <cell r="H109">
            <v>8.3333333333333332E-3</v>
          </cell>
          <cell r="I109">
            <v>29166.666666666668</v>
          </cell>
        </row>
        <row r="110">
          <cell r="F110" t="str">
            <v/>
          </cell>
          <cell r="G110" t="str">
            <v/>
          </cell>
          <cell r="H110" t="str">
            <v/>
          </cell>
          <cell r="I110" t="str">
            <v/>
          </cell>
        </row>
        <row r="111">
          <cell r="H111" t="str">
            <v/>
          </cell>
        </row>
        <row r="113">
          <cell r="A113" t="str">
            <v>Sub-Total</v>
          </cell>
          <cell r="J113">
            <v>29275.466767415393</v>
          </cell>
        </row>
        <row r="114">
          <cell r="A114" t="str">
            <v>II. MATERIALES EN OBRA</v>
          </cell>
        </row>
        <row r="115">
          <cell r="A115" t="str">
            <v>Descripción</v>
          </cell>
          <cell r="E115" t="str">
            <v>Unidad</v>
          </cell>
          <cell r="F115" t="str">
            <v>Precio-Unit.</v>
          </cell>
          <cell r="G115" t="str">
            <v>Cantidad</v>
          </cell>
          <cell r="H115" t="str">
            <v>Desperdicio</v>
          </cell>
          <cell r="I115" t="str">
            <v>Valor-Unit.</v>
          </cell>
        </row>
        <row r="116">
          <cell r="A116" t="str">
            <v>Material seleccionado</v>
          </cell>
          <cell r="E116" t="str">
            <v>m3</v>
          </cell>
          <cell r="F116">
            <v>60000</v>
          </cell>
          <cell r="G116">
            <v>1</v>
          </cell>
          <cell r="I116">
            <v>60000</v>
          </cell>
        </row>
        <row r="117">
          <cell r="E117" t="str">
            <v/>
          </cell>
          <cell r="F117" t="str">
            <v/>
          </cell>
          <cell r="I117" t="str">
            <v/>
          </cell>
        </row>
        <row r="118">
          <cell r="E118" t="str">
            <v/>
          </cell>
          <cell r="F118" t="str">
            <v/>
          </cell>
          <cell r="I118" t="str">
            <v/>
          </cell>
        </row>
        <row r="119">
          <cell r="E119" t="str">
            <v/>
          </cell>
          <cell r="F119" t="str">
            <v/>
          </cell>
          <cell r="I119" t="str">
            <v/>
          </cell>
        </row>
        <row r="120">
          <cell r="E120" t="str">
            <v/>
          </cell>
          <cell r="F120" t="str">
            <v/>
          </cell>
          <cell r="I120" t="str">
            <v/>
          </cell>
        </row>
        <row r="121">
          <cell r="A121" t="str">
            <v>Sub-Total</v>
          </cell>
          <cell r="J121">
            <v>60000</v>
          </cell>
        </row>
        <row r="122">
          <cell r="A122" t="str">
            <v>III. TRANSPORTES</v>
          </cell>
        </row>
        <row r="123">
          <cell r="A123" t="str">
            <v>Material</v>
          </cell>
          <cell r="E123" t="str">
            <v>TIPO</v>
          </cell>
          <cell r="F123" t="str">
            <v>Vol. Peso ó Cant.</v>
          </cell>
          <cell r="G123" t="str">
            <v>Distancia</v>
          </cell>
          <cell r="H123" t="str">
            <v>Tarifa</v>
          </cell>
          <cell r="I123" t="str">
            <v>Valor-Unit.</v>
          </cell>
        </row>
        <row r="124">
          <cell r="E124" t="str">
            <v/>
          </cell>
          <cell r="G124" t="str">
            <v/>
          </cell>
          <cell r="H124" t="str">
            <v/>
          </cell>
          <cell r="I124" t="str">
            <v/>
          </cell>
        </row>
        <row r="125">
          <cell r="E125" t="str">
            <v/>
          </cell>
          <cell r="G125" t="str">
            <v/>
          </cell>
          <cell r="H125" t="str">
            <v/>
          </cell>
          <cell r="I125" t="str">
            <v/>
          </cell>
        </row>
        <row r="128">
          <cell r="A128" t="str">
            <v>Sub-Total</v>
          </cell>
          <cell r="J128">
            <v>0</v>
          </cell>
        </row>
        <row r="129">
          <cell r="A129" t="str">
            <v>IV. MANO DE OBRA</v>
          </cell>
        </row>
        <row r="130">
          <cell r="A130" t="str">
            <v>Trabajador</v>
          </cell>
          <cell r="E130" t="str">
            <v>Jornal</v>
          </cell>
          <cell r="F130" t="str">
            <v>Prestaciones</v>
          </cell>
          <cell r="G130" t="str">
            <v>Jornal Total</v>
          </cell>
          <cell r="H130" t="str">
            <v>Rendimiento</v>
          </cell>
          <cell r="I130" t="str">
            <v>Valor-Unit.</v>
          </cell>
        </row>
        <row r="131">
          <cell r="A131" t="str">
            <v>OFICIAL A</v>
          </cell>
          <cell r="D131">
            <v>1</v>
          </cell>
          <cell r="E131">
            <v>101567</v>
          </cell>
          <cell r="F131">
            <v>1.6519796512835072</v>
          </cell>
          <cell r="G131">
            <v>167786.61724191197</v>
          </cell>
          <cell r="H131">
            <v>120</v>
          </cell>
          <cell r="I131">
            <v>1398.2218103492664</v>
          </cell>
        </row>
        <row r="132">
          <cell r="A132" t="str">
            <v xml:space="preserve"> AYUDANTE RASO</v>
          </cell>
          <cell r="D132">
            <v>1</v>
          </cell>
          <cell r="E132">
            <v>54117</v>
          </cell>
          <cell r="F132">
            <v>1.7246636834087141</v>
          </cell>
          <cell r="G132">
            <v>93333.624555029382</v>
          </cell>
          <cell r="H132">
            <v>120</v>
          </cell>
          <cell r="I132">
            <v>777.78020462524489</v>
          </cell>
        </row>
        <row r="133">
          <cell r="E133" t="str">
            <v/>
          </cell>
          <cell r="F133" t="str">
            <v/>
          </cell>
          <cell r="G133" t="str">
            <v/>
          </cell>
          <cell r="I133" t="str">
            <v/>
          </cell>
        </row>
        <row r="135">
          <cell r="A135" t="str">
            <v>Sub-Total</v>
          </cell>
          <cell r="J135">
            <v>2176.0020149745114</v>
          </cell>
        </row>
        <row r="136">
          <cell r="A136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138">
          <cell r="A138" t="str">
            <v xml:space="preserve">ITEM:  </v>
          </cell>
          <cell r="B138" t="str">
            <v>DESCRIPCION</v>
          </cell>
          <cell r="I138" t="str">
            <v>UNIDAD:</v>
          </cell>
          <cell r="J138" t="str">
            <v>COSTO DIRECTO</v>
          </cell>
        </row>
        <row r="139">
          <cell r="A139">
            <v>3.01</v>
          </cell>
          <cell r="B139" t="str">
            <v xml:space="preserve">Construccion de filtros horizontales para el manejo y control de lixiviados </v>
          </cell>
          <cell r="I139" t="str">
            <v>m</v>
          </cell>
          <cell r="J139">
            <v>30789</v>
          </cell>
        </row>
        <row r="140">
          <cell r="A140" t="str">
            <v>I. EQUIPO</v>
          </cell>
        </row>
        <row r="141">
          <cell r="A141" t="str">
            <v>Descripción</v>
          </cell>
          <cell r="F141" t="str">
            <v>Tipo</v>
          </cell>
          <cell r="G141" t="str">
            <v>Tarifa/dia</v>
          </cell>
          <cell r="H141" t="str">
            <v>Rendimiento</v>
          </cell>
          <cell r="I141" t="str">
            <v>Valor-Unit.</v>
          </cell>
        </row>
        <row r="142">
          <cell r="A142" t="str">
            <v>Herramienta menor (% Mano de obra)</v>
          </cell>
          <cell r="G142">
            <v>0.05</v>
          </cell>
          <cell r="I142">
            <v>970</v>
          </cell>
        </row>
        <row r="143">
          <cell r="A143" t="str">
            <v>CANGURO</v>
          </cell>
          <cell r="F143" t="str">
            <v>DIA</v>
          </cell>
          <cell r="G143">
            <v>120000</v>
          </cell>
          <cell r="H143">
            <v>0.04</v>
          </cell>
          <cell r="I143">
            <v>4800</v>
          </cell>
        </row>
        <row r="144">
          <cell r="F144" t="str">
            <v/>
          </cell>
          <cell r="G144" t="str">
            <v/>
          </cell>
          <cell r="H144" t="str">
            <v/>
          </cell>
          <cell r="I144" t="str">
            <v/>
          </cell>
        </row>
        <row r="147">
          <cell r="A147" t="str">
            <v>Sub-Total</v>
          </cell>
          <cell r="J147">
            <v>5770</v>
          </cell>
        </row>
        <row r="148">
          <cell r="A148" t="str">
            <v>II. MATERIALES EN OBRA</v>
          </cell>
        </row>
        <row r="149">
          <cell r="A149" t="str">
            <v>Descripción</v>
          </cell>
          <cell r="E149" t="str">
            <v>Unidad</v>
          </cell>
          <cell r="F149" t="str">
            <v>Precio-Unit.</v>
          </cell>
          <cell r="G149" t="str">
            <v>Cantidad</v>
          </cell>
          <cell r="H149" t="str">
            <v>Desperdicio</v>
          </cell>
          <cell r="I149" t="str">
            <v>Valor-Unit.</v>
          </cell>
        </row>
        <row r="150">
          <cell r="A150" t="str">
            <v>Geotextil NT 1600s</v>
          </cell>
          <cell r="E150" t="str">
            <v>m2</v>
          </cell>
          <cell r="F150">
            <v>3686</v>
          </cell>
          <cell r="G150">
            <v>1</v>
          </cell>
          <cell r="H150">
            <v>0.05</v>
          </cell>
          <cell r="I150">
            <v>3870</v>
          </cell>
        </row>
        <row r="151">
          <cell r="E151" t="str">
            <v/>
          </cell>
          <cell r="F151" t="str">
            <v/>
          </cell>
          <cell r="I151" t="str">
            <v/>
          </cell>
        </row>
        <row r="152">
          <cell r="E152" t="str">
            <v/>
          </cell>
          <cell r="F152" t="str">
            <v/>
          </cell>
          <cell r="I152" t="str">
            <v/>
          </cell>
        </row>
        <row r="153">
          <cell r="E153" t="str">
            <v/>
          </cell>
          <cell r="F153" t="str">
            <v/>
          </cell>
          <cell r="I153" t="str">
            <v/>
          </cell>
        </row>
        <row r="155">
          <cell r="A155" t="str">
            <v>Sub-Total</v>
          </cell>
          <cell r="J155">
            <v>3870</v>
          </cell>
        </row>
        <row r="156">
          <cell r="A156" t="str">
            <v>III. TRANSPORTES</v>
          </cell>
        </row>
        <row r="157">
          <cell r="A157" t="str">
            <v>Material</v>
          </cell>
          <cell r="E157" t="str">
            <v>TIPO</v>
          </cell>
          <cell r="F157" t="str">
            <v>Vol. Peso ó Cant.</v>
          </cell>
          <cell r="G157" t="str">
            <v>Distancia</v>
          </cell>
          <cell r="H157" t="str">
            <v>Tarifa</v>
          </cell>
          <cell r="I157" t="str">
            <v>Valor-Unit.</v>
          </cell>
        </row>
        <row r="158">
          <cell r="A158" t="str">
            <v>TRANSPORTE DISPOSICION DE MATERIAL SOBRANTE</v>
          </cell>
          <cell r="E158" t="str">
            <v>M3</v>
          </cell>
          <cell r="F158">
            <v>0.11699999999999999</v>
          </cell>
          <cell r="G158">
            <v>5</v>
          </cell>
          <cell r="H158">
            <v>3000</v>
          </cell>
          <cell r="I158">
            <v>1755</v>
          </cell>
        </row>
        <row r="162">
          <cell r="A162" t="str">
            <v>Sub-Total</v>
          </cell>
          <cell r="J162">
            <v>1755</v>
          </cell>
        </row>
        <row r="163">
          <cell r="A163" t="str">
            <v>IV. MANO DE OBRA</v>
          </cell>
        </row>
        <row r="164">
          <cell r="A164" t="str">
            <v>Trabajador</v>
          </cell>
          <cell r="E164" t="str">
            <v>Jornal</v>
          </cell>
          <cell r="F164" t="str">
            <v>Prestaciones</v>
          </cell>
          <cell r="G164" t="str">
            <v>Jornal Total</v>
          </cell>
          <cell r="H164" t="str">
            <v>Rendimiento</v>
          </cell>
          <cell r="I164" t="str">
            <v>Valor-Unit.</v>
          </cell>
        </row>
        <row r="165">
          <cell r="A165" t="str">
            <v>OFICIAL A</v>
          </cell>
          <cell r="D165">
            <v>1</v>
          </cell>
          <cell r="E165">
            <v>101567</v>
          </cell>
          <cell r="F165">
            <v>1.6519796512835072</v>
          </cell>
          <cell r="G165">
            <v>167786.61724191197</v>
          </cell>
          <cell r="H165">
            <v>25</v>
          </cell>
          <cell r="I165">
            <v>6711</v>
          </cell>
        </row>
        <row r="166">
          <cell r="A166" t="str">
            <v>AYUDANTE ENTENDIDO</v>
          </cell>
          <cell r="D166">
            <v>1</v>
          </cell>
          <cell r="E166">
            <v>77842</v>
          </cell>
          <cell r="F166">
            <v>1.6752877632282406</v>
          </cell>
          <cell r="G166">
            <v>130407.75006521271</v>
          </cell>
          <cell r="H166">
            <v>25</v>
          </cell>
          <cell r="I166">
            <v>5216</v>
          </cell>
        </row>
        <row r="167">
          <cell r="A167" t="str">
            <v xml:space="preserve"> AYUDANTE RASO</v>
          </cell>
          <cell r="D167">
            <v>2</v>
          </cell>
          <cell r="E167">
            <v>54117</v>
          </cell>
          <cell r="F167">
            <v>1.7246636834087141</v>
          </cell>
          <cell r="G167">
            <v>186667.24911005876</v>
          </cell>
          <cell r="H167">
            <v>25</v>
          </cell>
          <cell r="I167">
            <v>7467</v>
          </cell>
        </row>
        <row r="169">
          <cell r="A169" t="str">
            <v>Sub-Total</v>
          </cell>
          <cell r="J169">
            <v>19394</v>
          </cell>
        </row>
        <row r="170">
          <cell r="A170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172">
          <cell r="A172" t="str">
            <v xml:space="preserve">ITEM:  </v>
          </cell>
          <cell r="B172" t="str">
            <v>DESCRIPCION</v>
          </cell>
          <cell r="I172" t="str">
            <v>UNIDAD:</v>
          </cell>
          <cell r="J172" t="str">
            <v>COSTO DIRECTO</v>
          </cell>
        </row>
        <row r="173">
          <cell r="A173">
            <v>3.02</v>
          </cell>
          <cell r="B173" t="str">
            <v>Excavación en material común para zanjas y filtros de 0 a 2.00 mts.</v>
          </cell>
          <cell r="I173" t="str">
            <v xml:space="preserve">m3 </v>
          </cell>
          <cell r="J173">
            <v>60611</v>
          </cell>
        </row>
        <row r="174">
          <cell r="A174" t="str">
            <v>I. EQUIPO</v>
          </cell>
        </row>
        <row r="175">
          <cell r="A175" t="str">
            <v>Descripción</v>
          </cell>
          <cell r="F175" t="str">
            <v>Tipo</v>
          </cell>
          <cell r="G175" t="str">
            <v>Tarifa/dia</v>
          </cell>
          <cell r="H175" t="str">
            <v>Rendimiento</v>
          </cell>
          <cell r="I175" t="str">
            <v>Valor-Unit.</v>
          </cell>
        </row>
        <row r="176">
          <cell r="A176" t="str">
            <v>Herramienta menor (% Mano de obra)</v>
          </cell>
          <cell r="G176">
            <v>0.05</v>
          </cell>
          <cell r="I176">
            <v>1958</v>
          </cell>
        </row>
        <row r="177">
          <cell r="F177" t="str">
            <v/>
          </cell>
          <cell r="G177" t="str">
            <v/>
          </cell>
          <cell r="H177" t="str">
            <v/>
          </cell>
          <cell r="I177" t="str">
            <v/>
          </cell>
        </row>
        <row r="178">
          <cell r="F178" t="str">
            <v/>
          </cell>
          <cell r="G178" t="str">
            <v/>
          </cell>
          <cell r="H178" t="str">
            <v/>
          </cell>
          <cell r="I178" t="str">
            <v/>
          </cell>
        </row>
        <row r="181">
          <cell r="A181" t="str">
            <v>Sub-Total</v>
          </cell>
          <cell r="J181">
            <v>1958</v>
          </cell>
        </row>
        <row r="182">
          <cell r="A182" t="str">
            <v>II. MATERIALES EN OBRA</v>
          </cell>
        </row>
        <row r="183">
          <cell r="A183" t="str">
            <v>Descripción</v>
          </cell>
          <cell r="E183" t="str">
            <v>Unidad</v>
          </cell>
          <cell r="F183" t="str">
            <v>Precio-Unit.</v>
          </cell>
          <cell r="G183" t="str">
            <v>Cantidad</v>
          </cell>
          <cell r="H183" t="str">
            <v>Desperdicio</v>
          </cell>
          <cell r="I183" t="str">
            <v>Valor-Unit.</v>
          </cell>
        </row>
        <row r="184">
          <cell r="E184" t="str">
            <v/>
          </cell>
          <cell r="F184" t="str">
            <v/>
          </cell>
          <cell r="I184" t="str">
            <v/>
          </cell>
        </row>
        <row r="185">
          <cell r="E185" t="str">
            <v/>
          </cell>
          <cell r="F185" t="str">
            <v/>
          </cell>
          <cell r="I185" t="str">
            <v/>
          </cell>
        </row>
        <row r="186">
          <cell r="E186" t="str">
            <v/>
          </cell>
          <cell r="F186" t="str">
            <v/>
          </cell>
          <cell r="I186" t="str">
            <v/>
          </cell>
        </row>
        <row r="187">
          <cell r="E187" t="str">
            <v/>
          </cell>
          <cell r="F187" t="str">
            <v/>
          </cell>
          <cell r="I187" t="str">
            <v/>
          </cell>
        </row>
        <row r="188">
          <cell r="E188" t="str">
            <v/>
          </cell>
          <cell r="F188" t="str">
            <v/>
          </cell>
          <cell r="I188" t="str">
            <v/>
          </cell>
        </row>
        <row r="189">
          <cell r="I189">
            <v>0</v>
          </cell>
        </row>
        <row r="190">
          <cell r="A190" t="str">
            <v>Sub-Total</v>
          </cell>
          <cell r="J190">
            <v>0</v>
          </cell>
        </row>
        <row r="191">
          <cell r="A191" t="str">
            <v>III. TRANSPORTES</v>
          </cell>
        </row>
        <row r="192">
          <cell r="A192" t="str">
            <v>Material</v>
          </cell>
          <cell r="E192" t="str">
            <v>TIPO</v>
          </cell>
          <cell r="F192" t="str">
            <v>Vol. Peso ó Cant.</v>
          </cell>
          <cell r="G192" t="str">
            <v>Distancia</v>
          </cell>
          <cell r="H192" t="str">
            <v>Tarifa</v>
          </cell>
          <cell r="I192" t="str">
            <v>Valor-Unit.</v>
          </cell>
        </row>
        <row r="193">
          <cell r="A193" t="str">
            <v>TRANSPORTE DISPOSICION DE MATERIAL SOBRANTE</v>
          </cell>
          <cell r="E193" t="str">
            <v>M3</v>
          </cell>
          <cell r="F193">
            <v>1.3</v>
          </cell>
          <cell r="G193">
            <v>5</v>
          </cell>
          <cell r="H193">
            <v>3000</v>
          </cell>
          <cell r="I193">
            <v>19500</v>
          </cell>
        </row>
        <row r="194">
          <cell r="E194" t="str">
            <v/>
          </cell>
          <cell r="G194" t="str">
            <v/>
          </cell>
          <cell r="H194" t="str">
            <v/>
          </cell>
          <cell r="I194" t="str">
            <v/>
          </cell>
        </row>
        <row r="197">
          <cell r="A197" t="str">
            <v>Sub-Total</v>
          </cell>
          <cell r="J197">
            <v>19500</v>
          </cell>
        </row>
        <row r="198">
          <cell r="A198" t="str">
            <v>IV. MANO DE OBRA</v>
          </cell>
        </row>
        <row r="199">
          <cell r="A199" t="str">
            <v>Trabajador</v>
          </cell>
          <cell r="E199" t="str">
            <v>Jornal</v>
          </cell>
          <cell r="F199" t="str">
            <v>Prestaciones</v>
          </cell>
          <cell r="G199" t="str">
            <v>Jornal Total</v>
          </cell>
          <cell r="H199" t="str">
            <v>Rendimiento</v>
          </cell>
          <cell r="I199" t="str">
            <v>Valor-Unit.</v>
          </cell>
        </row>
        <row r="200">
          <cell r="A200" t="str">
            <v>OFICIAL A</v>
          </cell>
          <cell r="D200">
            <v>1</v>
          </cell>
          <cell r="E200">
            <v>101567</v>
          </cell>
          <cell r="F200">
            <v>1.6519796512835072</v>
          </cell>
          <cell r="G200">
            <v>167786.61724191197</v>
          </cell>
          <cell r="H200">
            <v>10</v>
          </cell>
          <cell r="I200">
            <v>16779</v>
          </cell>
        </row>
        <row r="201">
          <cell r="A201" t="str">
            <v>AYUDANTE ENTENDIDO</v>
          </cell>
          <cell r="D201">
            <v>1</v>
          </cell>
          <cell r="E201">
            <v>77842</v>
          </cell>
          <cell r="F201">
            <v>1.6752877632282406</v>
          </cell>
          <cell r="G201">
            <v>130407.75006521271</v>
          </cell>
          <cell r="H201">
            <v>10</v>
          </cell>
          <cell r="I201">
            <v>13041</v>
          </cell>
        </row>
        <row r="202">
          <cell r="A202" t="str">
            <v xml:space="preserve"> AYUDANTE RASO</v>
          </cell>
          <cell r="D202">
            <v>1</v>
          </cell>
          <cell r="E202">
            <v>54117</v>
          </cell>
          <cell r="F202">
            <v>1.7246636834087141</v>
          </cell>
          <cell r="G202">
            <v>93333.624555029382</v>
          </cell>
          <cell r="H202">
            <v>10</v>
          </cell>
          <cell r="I202">
            <v>9333</v>
          </cell>
        </row>
        <row r="204">
          <cell r="A204" t="str">
            <v>Sub-Total</v>
          </cell>
          <cell r="J204">
            <v>39153</v>
          </cell>
        </row>
        <row r="205">
          <cell r="A205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207">
          <cell r="A207" t="str">
            <v xml:space="preserve">ITEM:  </v>
          </cell>
          <cell r="B207" t="str">
            <v>DESCRIPCION</v>
          </cell>
          <cell r="I207" t="str">
            <v>UNIDAD:</v>
          </cell>
          <cell r="J207" t="str">
            <v>COSTO DIRECTO</v>
          </cell>
        </row>
        <row r="208">
          <cell r="A208">
            <v>3.03</v>
          </cell>
          <cell r="B208" t="str">
            <v>Suministro, transporte y colocación de material friltrante (gravilla seleccionada de 4 a 6")</v>
          </cell>
          <cell r="I208" t="str">
            <v>m3</v>
          </cell>
          <cell r="J208">
            <v>182544</v>
          </cell>
        </row>
        <row r="209">
          <cell r="A209" t="str">
            <v>I. EQUIPO</v>
          </cell>
        </row>
        <row r="210">
          <cell r="A210" t="str">
            <v>Descripción</v>
          </cell>
          <cell r="F210" t="str">
            <v>Tipo</v>
          </cell>
          <cell r="G210" t="str">
            <v>Tarifa/dia</v>
          </cell>
          <cell r="H210" t="str">
            <v>Rendimiento</v>
          </cell>
          <cell r="I210" t="str">
            <v>Valor-Unit.</v>
          </cell>
        </row>
        <row r="211">
          <cell r="A211" t="str">
            <v>Herramienta menor (% Mano de obra)</v>
          </cell>
          <cell r="G211">
            <v>0.05</v>
          </cell>
          <cell r="I211">
            <v>3264</v>
          </cell>
        </row>
        <row r="212">
          <cell r="A212" t="str">
            <v>CANGURO</v>
          </cell>
          <cell r="F212" t="str">
            <v>DIA</v>
          </cell>
          <cell r="G212">
            <v>120000</v>
          </cell>
          <cell r="H212">
            <v>0.25</v>
          </cell>
          <cell r="I212">
            <v>30000</v>
          </cell>
        </row>
        <row r="213">
          <cell r="F213" t="str">
            <v/>
          </cell>
          <cell r="G213" t="str">
            <v/>
          </cell>
          <cell r="H213" t="str">
            <v/>
          </cell>
          <cell r="I213" t="str">
            <v/>
          </cell>
        </row>
        <row r="214">
          <cell r="F214" t="str">
            <v/>
          </cell>
          <cell r="G214" t="str">
            <v/>
          </cell>
          <cell r="H214" t="str">
            <v/>
          </cell>
          <cell r="I214" t="str">
            <v/>
          </cell>
        </row>
        <row r="216">
          <cell r="A216" t="str">
            <v>Sub-Total</v>
          </cell>
          <cell r="J216">
            <v>33264</v>
          </cell>
        </row>
        <row r="217">
          <cell r="A217" t="str">
            <v>II. MATERIALES EN OBRA</v>
          </cell>
        </row>
        <row r="218">
          <cell r="A218" t="str">
            <v>Descripción</v>
          </cell>
          <cell r="E218" t="str">
            <v>Unidad</v>
          </cell>
          <cell r="F218" t="str">
            <v>Precio-Unit.</v>
          </cell>
          <cell r="G218" t="str">
            <v>Cantidad</v>
          </cell>
          <cell r="H218" t="str">
            <v>Desperdicio</v>
          </cell>
          <cell r="I218" t="str">
            <v>Valor-Unit.</v>
          </cell>
        </row>
        <row r="219">
          <cell r="A219" t="str">
            <v>Gravilla - revoltura</v>
          </cell>
          <cell r="E219" t="str">
            <v>m3</v>
          </cell>
          <cell r="F219">
            <v>80000</v>
          </cell>
          <cell r="G219">
            <v>1</v>
          </cell>
          <cell r="H219">
            <v>0.05</v>
          </cell>
          <cell r="I219">
            <v>84000</v>
          </cell>
        </row>
        <row r="220">
          <cell r="E220" t="str">
            <v/>
          </cell>
          <cell r="F220" t="str">
            <v/>
          </cell>
          <cell r="I220" t="str">
            <v/>
          </cell>
        </row>
        <row r="221">
          <cell r="E221" t="str">
            <v/>
          </cell>
          <cell r="F221" t="str">
            <v/>
          </cell>
          <cell r="I221" t="str">
            <v/>
          </cell>
        </row>
        <row r="222">
          <cell r="E222" t="str">
            <v/>
          </cell>
          <cell r="F222" t="str">
            <v/>
          </cell>
          <cell r="I222" t="str">
            <v/>
          </cell>
        </row>
        <row r="223">
          <cell r="E223" t="str">
            <v/>
          </cell>
          <cell r="F223" t="str">
            <v/>
          </cell>
          <cell r="I223" t="str">
            <v/>
          </cell>
        </row>
        <row r="224">
          <cell r="I224">
            <v>0</v>
          </cell>
        </row>
        <row r="225">
          <cell r="A225" t="str">
            <v>Sub-Total</v>
          </cell>
          <cell r="J225">
            <v>84000</v>
          </cell>
        </row>
        <row r="226">
          <cell r="A226" t="str">
            <v>III. TRANSPORTES</v>
          </cell>
        </row>
        <row r="227">
          <cell r="A227" t="str">
            <v>Material</v>
          </cell>
          <cell r="E227" t="str">
            <v>TIPO</v>
          </cell>
          <cell r="F227" t="str">
            <v>Vol. Peso ó Cant.</v>
          </cell>
          <cell r="G227" t="str">
            <v>Distancia</v>
          </cell>
          <cell r="H227" t="str">
            <v>Tarifa</v>
          </cell>
          <cell r="I227" t="str">
            <v>Valor-Unit.</v>
          </cell>
        </row>
        <row r="228">
          <cell r="E228" t="str">
            <v/>
          </cell>
          <cell r="G228" t="str">
            <v/>
          </cell>
          <cell r="H228" t="str">
            <v/>
          </cell>
          <cell r="I228" t="str">
            <v/>
          </cell>
        </row>
        <row r="229">
          <cell r="E229" t="str">
            <v/>
          </cell>
          <cell r="G229" t="str">
            <v/>
          </cell>
          <cell r="H229" t="str">
            <v/>
          </cell>
          <cell r="I229" t="str">
            <v/>
          </cell>
        </row>
        <row r="232">
          <cell r="A232" t="str">
            <v>Sub-Total</v>
          </cell>
          <cell r="J232">
            <v>0</v>
          </cell>
        </row>
        <row r="233">
          <cell r="A233" t="str">
            <v>IV. MANO DE OBRA</v>
          </cell>
        </row>
        <row r="234">
          <cell r="A234" t="str">
            <v>Trabajador</v>
          </cell>
          <cell r="E234" t="str">
            <v>Jornal</v>
          </cell>
          <cell r="F234" t="str">
            <v>Prestaciones</v>
          </cell>
          <cell r="G234" t="str">
            <v>Jornal Total</v>
          </cell>
          <cell r="H234" t="str">
            <v>Rendimiento</v>
          </cell>
          <cell r="I234" t="str">
            <v>Valor-Unit.</v>
          </cell>
        </row>
        <row r="235">
          <cell r="A235" t="str">
            <v>OFICIAL A</v>
          </cell>
          <cell r="D235">
            <v>1</v>
          </cell>
          <cell r="E235">
            <v>101567</v>
          </cell>
          <cell r="F235">
            <v>1.6519796512835072</v>
          </cell>
          <cell r="G235">
            <v>167786.61724191197</v>
          </cell>
          <cell r="H235">
            <v>4</v>
          </cell>
          <cell r="I235">
            <v>41947</v>
          </cell>
        </row>
        <row r="236">
          <cell r="A236" t="str">
            <v xml:space="preserve"> AYUDANTE RASO</v>
          </cell>
          <cell r="D236">
            <v>1</v>
          </cell>
          <cell r="E236">
            <v>54117</v>
          </cell>
          <cell r="F236">
            <v>1.7246636834087141</v>
          </cell>
          <cell r="G236">
            <v>93333.624555029382</v>
          </cell>
          <cell r="H236">
            <v>4</v>
          </cell>
          <cell r="I236">
            <v>23333</v>
          </cell>
        </row>
        <row r="237">
          <cell r="E237" t="str">
            <v/>
          </cell>
          <cell r="F237" t="str">
            <v/>
          </cell>
          <cell r="G237" t="str">
            <v/>
          </cell>
          <cell r="I237" t="str">
            <v/>
          </cell>
        </row>
        <row r="239">
          <cell r="A239" t="str">
            <v>Sub-Total</v>
          </cell>
          <cell r="J239">
            <v>65280</v>
          </cell>
        </row>
        <row r="240">
          <cell r="A240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242">
          <cell r="A242" t="str">
            <v xml:space="preserve">ITEM:  </v>
          </cell>
          <cell r="B242" t="str">
            <v>DESCRIPCION</v>
          </cell>
          <cell r="I242" t="str">
            <v>UNIDAD:</v>
          </cell>
          <cell r="J242" t="str">
            <v>COSTO DIRECTO</v>
          </cell>
        </row>
        <row r="243">
          <cell r="A243">
            <v>4.01</v>
          </cell>
          <cell r="B243" t="str">
            <v>Construcción de filtros verticales (chimeneas para el control y evacuación de gases 0.40*0.40*3.00). Incluye canastillas, material friltrante y tuberia de 4" y demas elementos para su instalacion y puesta en funcionamiento</v>
          </cell>
          <cell r="I243" t="str">
            <v>UN</v>
          </cell>
          <cell r="J243">
            <v>307644</v>
          </cell>
        </row>
        <row r="244">
          <cell r="A244" t="str">
            <v>I. EQUIPO</v>
          </cell>
        </row>
        <row r="245">
          <cell r="A245" t="str">
            <v>Descripción</v>
          </cell>
          <cell r="F245" t="str">
            <v>Tipo</v>
          </cell>
          <cell r="G245" t="str">
            <v>Tarifa/dia</v>
          </cell>
          <cell r="H245" t="str">
            <v>Rendimiento</v>
          </cell>
          <cell r="I245" t="str">
            <v>Valor-Unit.</v>
          </cell>
        </row>
        <row r="246">
          <cell r="A246" t="str">
            <v>Herramienta menor (% Mano de obra)</v>
          </cell>
          <cell r="G246">
            <v>0.05</v>
          </cell>
          <cell r="I246">
            <v>7483</v>
          </cell>
        </row>
        <row r="248">
          <cell r="F248" t="str">
            <v/>
          </cell>
          <cell r="G248" t="str">
            <v/>
          </cell>
          <cell r="H248" t="str">
            <v/>
          </cell>
          <cell r="I248" t="str">
            <v/>
          </cell>
        </row>
        <row r="249">
          <cell r="F249" t="str">
            <v/>
          </cell>
          <cell r="G249" t="str">
            <v/>
          </cell>
          <cell r="H249" t="str">
            <v/>
          </cell>
          <cell r="I249" t="str">
            <v/>
          </cell>
        </row>
        <row r="251">
          <cell r="A251" t="str">
            <v>Sub-Total</v>
          </cell>
          <cell r="J251">
            <v>7483</v>
          </cell>
        </row>
        <row r="252">
          <cell r="A252" t="str">
            <v>II. MATERIALES EN OBRA</v>
          </cell>
        </row>
        <row r="253">
          <cell r="A253" t="str">
            <v>Descripción</v>
          </cell>
          <cell r="E253" t="str">
            <v>Unidad</v>
          </cell>
          <cell r="F253" t="str">
            <v>Precio-Unit.</v>
          </cell>
          <cell r="G253" t="str">
            <v>Cantidad</v>
          </cell>
          <cell r="H253" t="str">
            <v>Desperdicio</v>
          </cell>
          <cell r="I253" t="str">
            <v>Valor-Unit.</v>
          </cell>
        </row>
        <row r="254">
          <cell r="A254" t="str">
            <v>Gravilla - revoltura</v>
          </cell>
          <cell r="E254" t="str">
            <v>m3</v>
          </cell>
          <cell r="F254">
            <v>80000</v>
          </cell>
          <cell r="G254">
            <v>1</v>
          </cell>
          <cell r="H254">
            <v>0.05</v>
          </cell>
          <cell r="I254">
            <v>84000</v>
          </cell>
        </row>
        <row r="255">
          <cell r="A255" t="str">
            <v>Malla para gallinero, ancho 1.50m</v>
          </cell>
          <cell r="E255" t="str">
            <v>m</v>
          </cell>
          <cell r="F255">
            <v>5400</v>
          </cell>
          <cell r="G255">
            <v>10</v>
          </cell>
          <cell r="H255">
            <v>0.05</v>
          </cell>
          <cell r="I255">
            <v>56700</v>
          </cell>
        </row>
        <row r="256">
          <cell r="A256" t="str">
            <v>Alambre Quemado</v>
          </cell>
          <cell r="E256" t="str">
            <v>Rollo</v>
          </cell>
          <cell r="F256">
            <v>9000</v>
          </cell>
          <cell r="G256">
            <v>0.05</v>
          </cell>
          <cell r="I256">
            <v>450</v>
          </cell>
        </row>
        <row r="257">
          <cell r="E257" t="str">
            <v/>
          </cell>
          <cell r="F257" t="str">
            <v/>
          </cell>
          <cell r="I257" t="str">
            <v/>
          </cell>
        </row>
        <row r="258">
          <cell r="E258" t="str">
            <v/>
          </cell>
          <cell r="F258" t="str">
            <v/>
          </cell>
          <cell r="I258" t="str">
            <v/>
          </cell>
        </row>
        <row r="259">
          <cell r="E259" t="str">
            <v/>
          </cell>
          <cell r="F259" t="str">
            <v/>
          </cell>
          <cell r="I259" t="str">
            <v/>
          </cell>
        </row>
        <row r="260">
          <cell r="I260">
            <v>0</v>
          </cell>
        </row>
        <row r="261">
          <cell r="A261" t="str">
            <v>Sub-Total</v>
          </cell>
          <cell r="J261">
            <v>141150</v>
          </cell>
        </row>
        <row r="262">
          <cell r="A262" t="str">
            <v>III. TRANSPORTES</v>
          </cell>
        </row>
        <row r="263">
          <cell r="A263" t="str">
            <v>Material</v>
          </cell>
          <cell r="E263" t="str">
            <v>TIPO</v>
          </cell>
          <cell r="F263" t="str">
            <v>Vol. Peso ó Cant.</v>
          </cell>
          <cell r="G263" t="str">
            <v>Distancia</v>
          </cell>
          <cell r="H263" t="str">
            <v>Tarifa</v>
          </cell>
          <cell r="I263" t="str">
            <v>Valor-Unit.</v>
          </cell>
        </row>
        <row r="264">
          <cell r="A264" t="str">
            <v>TRANSPORTE DISPOSICION DE MATERIAL SOBRANTE</v>
          </cell>
          <cell r="E264" t="str">
            <v>M3</v>
          </cell>
          <cell r="F264">
            <v>0.62400000000000011</v>
          </cell>
          <cell r="G264">
            <v>5</v>
          </cell>
          <cell r="H264">
            <v>3000</v>
          </cell>
          <cell r="I264">
            <v>9360.0000000000018</v>
          </cell>
        </row>
        <row r="265">
          <cell r="E265" t="str">
            <v/>
          </cell>
          <cell r="G265" t="str">
            <v/>
          </cell>
          <cell r="H265" t="str">
            <v/>
          </cell>
          <cell r="I265" t="str">
            <v/>
          </cell>
        </row>
        <row r="268">
          <cell r="A268" t="str">
            <v>Sub-Total</v>
          </cell>
          <cell r="J268">
            <v>9360.0000000000018</v>
          </cell>
        </row>
        <row r="269">
          <cell r="A269" t="str">
            <v>IV. MANO DE OBRA</v>
          </cell>
        </row>
        <row r="270">
          <cell r="A270" t="str">
            <v>Trabajador</v>
          </cell>
          <cell r="E270" t="str">
            <v>Jornal</v>
          </cell>
          <cell r="F270" t="str">
            <v>Prestaciones</v>
          </cell>
          <cell r="G270" t="str">
            <v>Jornal Total</v>
          </cell>
          <cell r="H270" t="str">
            <v>Rendimiento</v>
          </cell>
          <cell r="I270" t="str">
            <v>Valor-Unit.</v>
          </cell>
        </row>
        <row r="271">
          <cell r="A271" t="str">
            <v>OFICIAL B</v>
          </cell>
          <cell r="D271">
            <v>1</v>
          </cell>
          <cell r="E271">
            <v>142350</v>
          </cell>
          <cell r="F271">
            <v>1.5821008628015805</v>
          </cell>
          <cell r="G271">
            <v>225212.05781980499</v>
          </cell>
          <cell r="H271">
            <v>3</v>
          </cell>
          <cell r="I271">
            <v>75071</v>
          </cell>
        </row>
        <row r="272">
          <cell r="A272" t="str">
            <v>AYUDANTE ENTENDIDO</v>
          </cell>
          <cell r="D272">
            <v>1</v>
          </cell>
          <cell r="E272">
            <v>77842</v>
          </cell>
          <cell r="F272">
            <v>1.6752877632282406</v>
          </cell>
          <cell r="G272">
            <v>130407.75006521271</v>
          </cell>
          <cell r="H272">
            <v>3</v>
          </cell>
          <cell r="I272">
            <v>43469</v>
          </cell>
        </row>
        <row r="273">
          <cell r="A273" t="str">
            <v xml:space="preserve"> AYUDANTE RASO</v>
          </cell>
          <cell r="D273">
            <v>1</v>
          </cell>
          <cell r="E273">
            <v>54117</v>
          </cell>
          <cell r="F273">
            <v>1.7246636834087141</v>
          </cell>
          <cell r="G273">
            <v>93333.624555029382</v>
          </cell>
          <cell r="H273">
            <v>3</v>
          </cell>
          <cell r="I273">
            <v>31111</v>
          </cell>
        </row>
        <row r="275">
          <cell r="A275" t="str">
            <v>Sub-Total</v>
          </cell>
          <cell r="J275">
            <v>149651</v>
          </cell>
        </row>
        <row r="276">
          <cell r="A276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278">
          <cell r="A278" t="str">
            <v xml:space="preserve">ITEM:  </v>
          </cell>
          <cell r="B278" t="str">
            <v>DESCRIPCION</v>
          </cell>
          <cell r="I278" t="str">
            <v>UNIDAD:</v>
          </cell>
          <cell r="J278" t="str">
            <v>COSTO DIRECTO</v>
          </cell>
        </row>
        <row r="279">
          <cell r="A279">
            <v>5.01</v>
          </cell>
          <cell r="B279" t="str">
            <v>Suministro e instalación de la geomembrana Textil HR - 30.000 Espesor 0,75 ml para la impermeabilización</v>
          </cell>
          <cell r="I279" t="str">
            <v>m2</v>
          </cell>
          <cell r="J279">
            <v>26304</v>
          </cell>
        </row>
        <row r="280">
          <cell r="A280" t="str">
            <v>I. EQUIPO</v>
          </cell>
        </row>
        <row r="281">
          <cell r="A281" t="str">
            <v>Descripción</v>
          </cell>
          <cell r="F281" t="str">
            <v>Tipo</v>
          </cell>
          <cell r="G281" t="str">
            <v>Tarifa/dia</v>
          </cell>
          <cell r="H281" t="str">
            <v>Rendimiento</v>
          </cell>
          <cell r="I281" t="str">
            <v>Valor-Unit.</v>
          </cell>
        </row>
        <row r="282">
          <cell r="A282" t="str">
            <v>Herramienta menor (% Mano de obra)</v>
          </cell>
          <cell r="G282">
            <v>0.05</v>
          </cell>
          <cell r="I282">
            <v>561</v>
          </cell>
        </row>
        <row r="283">
          <cell r="F283" t="str">
            <v/>
          </cell>
          <cell r="G283" t="str">
            <v/>
          </cell>
          <cell r="H283" t="str">
            <v/>
          </cell>
          <cell r="I283" t="str">
            <v/>
          </cell>
        </row>
        <row r="284">
          <cell r="F284" t="str">
            <v/>
          </cell>
          <cell r="G284" t="str">
            <v/>
          </cell>
          <cell r="H284" t="str">
            <v/>
          </cell>
          <cell r="I284" t="str">
            <v/>
          </cell>
        </row>
        <row r="285">
          <cell r="F285" t="str">
            <v/>
          </cell>
          <cell r="G285" t="str">
            <v/>
          </cell>
          <cell r="H285" t="str">
            <v/>
          </cell>
          <cell r="I285" t="str">
            <v/>
          </cell>
        </row>
        <row r="287">
          <cell r="A287" t="str">
            <v>Sub-Total</v>
          </cell>
          <cell r="J287">
            <v>561</v>
          </cell>
        </row>
        <row r="288">
          <cell r="A288" t="str">
            <v>II. MATERIALES EN OBRA</v>
          </cell>
        </row>
        <row r="289">
          <cell r="A289" t="str">
            <v>Descripción</v>
          </cell>
          <cell r="E289" t="str">
            <v>Unidad</v>
          </cell>
          <cell r="F289" t="str">
            <v>Precio-Unit.</v>
          </cell>
          <cell r="G289" t="str">
            <v>Cantidad</v>
          </cell>
          <cell r="H289" t="str">
            <v>Desperdicio</v>
          </cell>
          <cell r="I289" t="str">
            <v>Valor-Unit.</v>
          </cell>
        </row>
        <row r="290">
          <cell r="A290" t="str">
            <v>Geomembrana textil HR 30.000</v>
          </cell>
          <cell r="E290" t="str">
            <v>m2</v>
          </cell>
          <cell r="F290">
            <v>10800</v>
          </cell>
          <cell r="G290">
            <v>1</v>
          </cell>
          <cell r="I290">
            <v>10800</v>
          </cell>
        </row>
        <row r="291">
          <cell r="E291" t="str">
            <v/>
          </cell>
          <cell r="F291" t="str">
            <v/>
          </cell>
          <cell r="I291" t="str">
            <v/>
          </cell>
        </row>
        <row r="292">
          <cell r="E292" t="str">
            <v/>
          </cell>
          <cell r="F292" t="str">
            <v/>
          </cell>
          <cell r="I292" t="str">
            <v/>
          </cell>
        </row>
        <row r="293">
          <cell r="E293" t="str">
            <v/>
          </cell>
          <cell r="F293" t="str">
            <v/>
          </cell>
          <cell r="I293" t="str">
            <v/>
          </cell>
        </row>
        <row r="294">
          <cell r="E294" t="str">
            <v/>
          </cell>
          <cell r="F294" t="str">
            <v/>
          </cell>
          <cell r="I294" t="str">
            <v/>
          </cell>
        </row>
        <row r="295">
          <cell r="E295" t="str">
            <v/>
          </cell>
          <cell r="F295" t="str">
            <v/>
          </cell>
          <cell r="I295" t="str">
            <v/>
          </cell>
        </row>
        <row r="296">
          <cell r="E296" t="str">
            <v/>
          </cell>
          <cell r="F296" t="str">
            <v/>
          </cell>
          <cell r="I296" t="str">
            <v/>
          </cell>
        </row>
        <row r="297">
          <cell r="E297" t="str">
            <v/>
          </cell>
          <cell r="F297" t="str">
            <v/>
          </cell>
          <cell r="I297" t="str">
            <v/>
          </cell>
        </row>
        <row r="298">
          <cell r="I298">
            <v>0</v>
          </cell>
        </row>
        <row r="299">
          <cell r="A299" t="str">
            <v>Sub-Total</v>
          </cell>
          <cell r="J299">
            <v>10800</v>
          </cell>
        </row>
        <row r="300">
          <cell r="A300" t="str">
            <v>III. TRANSPORTES</v>
          </cell>
        </row>
        <row r="301">
          <cell r="A301" t="str">
            <v>Material</v>
          </cell>
          <cell r="E301" t="str">
            <v>TIPO</v>
          </cell>
          <cell r="F301" t="str">
            <v>Vol. Peso ó Cant.</v>
          </cell>
          <cell r="G301" t="str">
            <v>Distancia</v>
          </cell>
          <cell r="H301" t="str">
            <v>Tarifa</v>
          </cell>
          <cell r="I301" t="str">
            <v>Valor-Unit.</v>
          </cell>
        </row>
        <row r="302">
          <cell r="A302" t="str">
            <v>TRANSPORTE DESDE MEDELLIN</v>
          </cell>
          <cell r="E302" t="str">
            <v>m3/km</v>
          </cell>
          <cell r="F302">
            <v>5.0000000000000001E-3</v>
          </cell>
          <cell r="G302">
            <v>413.59999999999997</v>
          </cell>
          <cell r="H302">
            <v>1799</v>
          </cell>
          <cell r="I302">
            <v>3720.3319999999994</v>
          </cell>
        </row>
        <row r="303">
          <cell r="E303" t="str">
            <v/>
          </cell>
          <cell r="G303" t="str">
            <v/>
          </cell>
          <cell r="H303" t="str">
            <v/>
          </cell>
          <cell r="I303" t="str">
            <v/>
          </cell>
        </row>
        <row r="306">
          <cell r="A306" t="str">
            <v>Sub-Total</v>
          </cell>
          <cell r="J306">
            <v>3720.3319999999994</v>
          </cell>
        </row>
        <row r="307">
          <cell r="A307" t="str">
            <v>IV. MANO DE OBRA</v>
          </cell>
        </row>
        <row r="308">
          <cell r="A308" t="str">
            <v>Trabajador</v>
          </cell>
          <cell r="E308" t="str">
            <v>Jornal</v>
          </cell>
          <cell r="F308" t="str">
            <v>Prestaciones</v>
          </cell>
          <cell r="G308" t="str">
            <v>Jornal Total</v>
          </cell>
          <cell r="H308" t="str">
            <v>Rendimiento</v>
          </cell>
          <cell r="I308" t="str">
            <v>Valor-Unit.</v>
          </cell>
        </row>
        <row r="309">
          <cell r="A309" t="str">
            <v>OFICIAL B</v>
          </cell>
          <cell r="D309">
            <v>1</v>
          </cell>
          <cell r="E309">
            <v>142350</v>
          </cell>
          <cell r="F309">
            <v>1.5821008628015805</v>
          </cell>
          <cell r="G309">
            <v>225212.05781980499</v>
          </cell>
          <cell r="H309">
            <v>40</v>
          </cell>
          <cell r="I309">
            <v>5630</v>
          </cell>
        </row>
        <row r="310">
          <cell r="A310" t="str">
            <v>AYUDANTE ENTENDIDO</v>
          </cell>
          <cell r="D310">
            <v>1</v>
          </cell>
          <cell r="E310">
            <v>77842</v>
          </cell>
          <cell r="F310">
            <v>1.6752877632282406</v>
          </cell>
          <cell r="G310">
            <v>130407.75006521271</v>
          </cell>
          <cell r="H310">
            <v>40</v>
          </cell>
          <cell r="I310">
            <v>3260</v>
          </cell>
        </row>
        <row r="311">
          <cell r="A311" t="str">
            <v xml:space="preserve"> AYUDANTE RASO</v>
          </cell>
          <cell r="D311">
            <v>1</v>
          </cell>
          <cell r="E311">
            <v>54117</v>
          </cell>
          <cell r="F311">
            <v>1.7246636834087141</v>
          </cell>
          <cell r="G311">
            <v>93333.624555029382</v>
          </cell>
          <cell r="H311">
            <v>40</v>
          </cell>
          <cell r="I311">
            <v>2333</v>
          </cell>
        </row>
        <row r="313">
          <cell r="A313" t="str">
            <v>Sub-Total</v>
          </cell>
          <cell r="J313">
            <v>11223</v>
          </cell>
        </row>
        <row r="314">
          <cell r="A314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316">
          <cell r="A316" t="str">
            <v xml:space="preserve">ITEM:  </v>
          </cell>
          <cell r="B316" t="str">
            <v>DESCRIPCION</v>
          </cell>
          <cell r="I316" t="str">
            <v>UNIDAD:</v>
          </cell>
          <cell r="J316" t="str">
            <v>COSTO DIRECTO</v>
          </cell>
        </row>
        <row r="317">
          <cell r="A317">
            <v>5.0199999999999996</v>
          </cell>
          <cell r="B317" t="str">
            <v>Excavación de cunetas para tuberías de lixiviados y pozo de recirculación de lixiviados</v>
          </cell>
          <cell r="I317" t="str">
            <v>m3</v>
          </cell>
          <cell r="J317">
            <v>65178</v>
          </cell>
        </row>
        <row r="318">
          <cell r="A318" t="str">
            <v>I. EQUIPO</v>
          </cell>
        </row>
        <row r="319">
          <cell r="A319" t="str">
            <v>Descripción</v>
          </cell>
          <cell r="F319" t="str">
            <v>Tipo</v>
          </cell>
          <cell r="G319" t="str">
            <v>Tarifa/dia</v>
          </cell>
          <cell r="H319" t="str">
            <v>Rendimiento</v>
          </cell>
          <cell r="I319" t="str">
            <v>Valor-Unit.</v>
          </cell>
        </row>
        <row r="320">
          <cell r="A320" t="str">
            <v>Herramienta menor (% Mano de obra)</v>
          </cell>
          <cell r="G320">
            <v>0.05</v>
          </cell>
          <cell r="I320">
            <v>2175</v>
          </cell>
        </row>
        <row r="321">
          <cell r="F321" t="str">
            <v/>
          </cell>
          <cell r="G321" t="str">
            <v/>
          </cell>
          <cell r="H321" t="str">
            <v/>
          </cell>
          <cell r="I321" t="str">
            <v/>
          </cell>
        </row>
        <row r="322">
          <cell r="F322" t="str">
            <v/>
          </cell>
          <cell r="G322" t="str">
            <v/>
          </cell>
          <cell r="H322" t="str">
            <v/>
          </cell>
          <cell r="I322" t="str">
            <v/>
          </cell>
        </row>
        <row r="325">
          <cell r="A325" t="str">
            <v>Sub-Total</v>
          </cell>
          <cell r="J325">
            <v>2175</v>
          </cell>
        </row>
        <row r="326">
          <cell r="A326" t="str">
            <v>II. MATERIALES EN OBRA</v>
          </cell>
        </row>
        <row r="327">
          <cell r="A327" t="str">
            <v>Descripción</v>
          </cell>
          <cell r="E327" t="str">
            <v>Unidad</v>
          </cell>
          <cell r="F327" t="str">
            <v>Precio-Unit.</v>
          </cell>
          <cell r="G327" t="str">
            <v>Cantidad</v>
          </cell>
          <cell r="H327" t="str">
            <v>Desperdicio</v>
          </cell>
          <cell r="I327" t="str">
            <v>Valor-Unit.</v>
          </cell>
        </row>
        <row r="328">
          <cell r="E328" t="str">
            <v/>
          </cell>
          <cell r="F328" t="str">
            <v/>
          </cell>
          <cell r="I328" t="str">
            <v/>
          </cell>
        </row>
        <row r="329">
          <cell r="E329" t="str">
            <v/>
          </cell>
          <cell r="F329" t="str">
            <v/>
          </cell>
          <cell r="I329" t="str">
            <v/>
          </cell>
        </row>
        <row r="330">
          <cell r="E330" t="str">
            <v/>
          </cell>
          <cell r="F330" t="str">
            <v/>
          </cell>
          <cell r="I330" t="str">
            <v/>
          </cell>
        </row>
        <row r="331">
          <cell r="E331" t="str">
            <v/>
          </cell>
          <cell r="F331" t="str">
            <v/>
          </cell>
          <cell r="I331" t="str">
            <v/>
          </cell>
        </row>
        <row r="332">
          <cell r="E332" t="str">
            <v/>
          </cell>
          <cell r="F332" t="str">
            <v/>
          </cell>
          <cell r="I332" t="str">
            <v/>
          </cell>
        </row>
        <row r="333">
          <cell r="I333">
            <v>0</v>
          </cell>
        </row>
        <row r="334">
          <cell r="A334" t="str">
            <v>Sub-Total</v>
          </cell>
          <cell r="J334">
            <v>0</v>
          </cell>
        </row>
        <row r="335">
          <cell r="A335" t="str">
            <v>III. TRANSPORTES</v>
          </cell>
        </row>
        <row r="336">
          <cell r="A336" t="str">
            <v>Material</v>
          </cell>
          <cell r="E336" t="str">
            <v>TIPO</v>
          </cell>
          <cell r="F336" t="str">
            <v>Vol. Peso ó Cant.</v>
          </cell>
          <cell r="G336" t="str">
            <v>Distancia</v>
          </cell>
          <cell r="H336" t="str">
            <v>Tarifa</v>
          </cell>
          <cell r="I336" t="str">
            <v>Valor-Unit.</v>
          </cell>
        </row>
        <row r="337">
          <cell r="A337" t="str">
            <v>TRANSPORTE DISPOSICION DE MATERIAL SOBRANTE</v>
          </cell>
          <cell r="E337" t="str">
            <v>M3</v>
          </cell>
          <cell r="F337">
            <v>1.3</v>
          </cell>
          <cell r="G337">
            <v>5</v>
          </cell>
          <cell r="H337">
            <v>3000</v>
          </cell>
          <cell r="I337">
            <v>19500</v>
          </cell>
        </row>
        <row r="338">
          <cell r="E338" t="str">
            <v/>
          </cell>
          <cell r="G338" t="str">
            <v/>
          </cell>
          <cell r="H338" t="str">
            <v/>
          </cell>
          <cell r="I338" t="str">
            <v/>
          </cell>
        </row>
        <row r="341">
          <cell r="A341" t="str">
            <v>Sub-Total</v>
          </cell>
          <cell r="J341">
            <v>19500</v>
          </cell>
        </row>
        <row r="342">
          <cell r="A342" t="str">
            <v>IV. MANO DE OBRA</v>
          </cell>
        </row>
        <row r="343">
          <cell r="A343" t="str">
            <v>Trabajador</v>
          </cell>
          <cell r="E343" t="str">
            <v>Jornal</v>
          </cell>
          <cell r="F343" t="str">
            <v>Prestaciones</v>
          </cell>
          <cell r="G343" t="str">
            <v>Jornal Total</v>
          </cell>
          <cell r="H343" t="str">
            <v>Rendimiento</v>
          </cell>
          <cell r="I343" t="str">
            <v>Valor-Unit.</v>
          </cell>
        </row>
        <row r="344">
          <cell r="A344" t="str">
            <v>OFICIAL A</v>
          </cell>
          <cell r="D344">
            <v>1</v>
          </cell>
          <cell r="E344">
            <v>101567</v>
          </cell>
          <cell r="F344">
            <v>1.6519796512835072</v>
          </cell>
          <cell r="G344">
            <v>167786.61724191197</v>
          </cell>
          <cell r="H344">
            <v>9</v>
          </cell>
          <cell r="I344">
            <v>18643</v>
          </cell>
        </row>
        <row r="345">
          <cell r="A345" t="str">
            <v>AYUDANTE ENTENDIDO</v>
          </cell>
          <cell r="D345">
            <v>1</v>
          </cell>
          <cell r="E345">
            <v>77842</v>
          </cell>
          <cell r="F345">
            <v>1.6752877632282406</v>
          </cell>
          <cell r="G345">
            <v>130407.75006521271</v>
          </cell>
          <cell r="H345">
            <v>9</v>
          </cell>
          <cell r="I345">
            <v>14490</v>
          </cell>
        </row>
        <row r="346">
          <cell r="A346" t="str">
            <v xml:space="preserve"> AYUDANTE RASO</v>
          </cell>
          <cell r="D346">
            <v>1</v>
          </cell>
          <cell r="E346">
            <v>54117</v>
          </cell>
          <cell r="F346">
            <v>1.7246636834087141</v>
          </cell>
          <cell r="G346">
            <v>93333.624555029382</v>
          </cell>
          <cell r="H346">
            <v>9</v>
          </cell>
          <cell r="I346">
            <v>10370</v>
          </cell>
        </row>
        <row r="348">
          <cell r="A348" t="str">
            <v>Sub-Total</v>
          </cell>
          <cell r="J348">
            <v>43503</v>
          </cell>
        </row>
        <row r="349">
          <cell r="A349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351">
          <cell r="A351" t="str">
            <v xml:space="preserve">ITEM:  </v>
          </cell>
          <cell r="B351" t="str">
            <v>DESCRIPCION</v>
          </cell>
          <cell r="I351" t="str">
            <v>UNIDAD:</v>
          </cell>
          <cell r="J351" t="str">
            <v>COSTO DIRECTO</v>
          </cell>
        </row>
        <row r="352">
          <cell r="A352">
            <v>5.03</v>
          </cell>
          <cell r="B352" t="str">
            <v xml:space="preserve">Suministro e instalación de tubería sanitaria de 4" para recolección de lixiviados. </v>
          </cell>
          <cell r="I352" t="str">
            <v>m</v>
          </cell>
          <cell r="J352">
            <v>38530</v>
          </cell>
        </row>
        <row r="353">
          <cell r="A353" t="str">
            <v>I. EQUIPO</v>
          </cell>
        </row>
        <row r="354">
          <cell r="A354" t="str">
            <v>Descripción</v>
          </cell>
          <cell r="F354" t="str">
            <v>Tipo</v>
          </cell>
          <cell r="G354" t="str">
            <v>Tarifa/dia</v>
          </cell>
          <cell r="H354" t="str">
            <v>Rendimiento</v>
          </cell>
          <cell r="I354" t="str">
            <v>Valor-Unit.</v>
          </cell>
        </row>
        <row r="355">
          <cell r="A355" t="str">
            <v>Herramienta menor (% Mano de obra)</v>
          </cell>
          <cell r="G355">
            <v>0.05</v>
          </cell>
          <cell r="I355">
            <v>608</v>
          </cell>
        </row>
        <row r="356">
          <cell r="A356" t="str">
            <v xml:space="preserve">PULIDORA </v>
          </cell>
          <cell r="F356" t="str">
            <v>DIA</v>
          </cell>
          <cell r="G356">
            <v>32500</v>
          </cell>
          <cell r="H356">
            <v>2.5000000000000001E-2</v>
          </cell>
          <cell r="I356">
            <v>813</v>
          </cell>
        </row>
        <row r="357">
          <cell r="F357" t="str">
            <v/>
          </cell>
          <cell r="G357" t="str">
            <v/>
          </cell>
          <cell r="H357" t="str">
            <v/>
          </cell>
          <cell r="I357" t="str">
            <v/>
          </cell>
        </row>
        <row r="360">
          <cell r="A360" t="str">
            <v>Sub-Total</v>
          </cell>
          <cell r="J360">
            <v>1421</v>
          </cell>
        </row>
        <row r="361">
          <cell r="A361" t="str">
            <v>II. MATERIALES EN OBRA</v>
          </cell>
        </row>
        <row r="362">
          <cell r="A362" t="str">
            <v>Descripción</v>
          </cell>
          <cell r="E362" t="str">
            <v>Unidad</v>
          </cell>
          <cell r="F362" t="str">
            <v>Precio-Unit.</v>
          </cell>
          <cell r="G362" t="str">
            <v>Cantidad</v>
          </cell>
          <cell r="H362" t="str">
            <v>Desperdicio</v>
          </cell>
          <cell r="I362" t="str">
            <v>Valor-Unit.</v>
          </cell>
        </row>
        <row r="363">
          <cell r="A363" t="str">
            <v>Tubo sanitario 4"</v>
          </cell>
          <cell r="E363" t="str">
            <v>UN</v>
          </cell>
          <cell r="F363">
            <v>78400</v>
          </cell>
          <cell r="G363">
            <v>0.16666666666666666</v>
          </cell>
          <cell r="H363">
            <v>0.05</v>
          </cell>
          <cell r="I363">
            <v>13720</v>
          </cell>
        </row>
        <row r="364">
          <cell r="A364" t="str">
            <v>Unión sanitaria 4"</v>
          </cell>
          <cell r="E364" t="str">
            <v>UN</v>
          </cell>
          <cell r="F364">
            <v>5800</v>
          </cell>
          <cell r="G364">
            <v>0.16666666666666666</v>
          </cell>
          <cell r="H364">
            <v>0.05</v>
          </cell>
          <cell r="I364">
            <v>1015</v>
          </cell>
        </row>
        <row r="365">
          <cell r="A365" t="str">
            <v>Soldadura líquida  1/4"</v>
          </cell>
          <cell r="E365" t="str">
            <v>UN</v>
          </cell>
          <cell r="F365">
            <v>85400</v>
          </cell>
          <cell r="G365">
            <v>0.03</v>
          </cell>
          <cell r="H365">
            <v>0.05</v>
          </cell>
          <cell r="I365">
            <v>2690.1</v>
          </cell>
        </row>
        <row r="366">
          <cell r="A366" t="str">
            <v>Limpiador x 1/4</v>
          </cell>
          <cell r="E366" t="str">
            <v>un</v>
          </cell>
          <cell r="F366">
            <v>54900</v>
          </cell>
          <cell r="G366">
            <v>0.03</v>
          </cell>
          <cell r="H366">
            <v>0.05</v>
          </cell>
          <cell r="I366">
            <v>1729.3500000000001</v>
          </cell>
        </row>
        <row r="367">
          <cell r="A367" t="str">
            <v>Estopa pequeña</v>
          </cell>
          <cell r="E367" t="str">
            <v>Libra</v>
          </cell>
          <cell r="F367">
            <v>7800</v>
          </cell>
          <cell r="G367">
            <v>0.2</v>
          </cell>
          <cell r="H367">
            <v>0.05</v>
          </cell>
          <cell r="I367">
            <v>1638</v>
          </cell>
        </row>
        <row r="368">
          <cell r="E368" t="str">
            <v/>
          </cell>
          <cell r="F368" t="str">
            <v/>
          </cell>
          <cell r="I368" t="str">
            <v/>
          </cell>
        </row>
        <row r="369">
          <cell r="E369" t="str">
            <v/>
          </cell>
          <cell r="F369" t="str">
            <v/>
          </cell>
          <cell r="I369" t="str">
            <v/>
          </cell>
        </row>
        <row r="370">
          <cell r="E370" t="str">
            <v/>
          </cell>
          <cell r="F370" t="str">
            <v/>
          </cell>
          <cell r="I370" t="str">
            <v/>
          </cell>
        </row>
        <row r="371">
          <cell r="I371">
            <v>0</v>
          </cell>
        </row>
        <row r="372">
          <cell r="A372" t="str">
            <v>Sub-Total</v>
          </cell>
          <cell r="J372">
            <v>20792.449999999997</v>
          </cell>
        </row>
        <row r="373">
          <cell r="A373" t="str">
            <v>III. TRANSPORTES</v>
          </cell>
        </row>
        <row r="374">
          <cell r="A374" t="str">
            <v>Material</v>
          </cell>
          <cell r="E374" t="str">
            <v>TIPO</v>
          </cell>
          <cell r="F374" t="str">
            <v>Vol. Peso ó Cant.</v>
          </cell>
          <cell r="G374" t="str">
            <v>Distancia</v>
          </cell>
          <cell r="H374" t="str">
            <v>Tarifa</v>
          </cell>
          <cell r="I374" t="str">
            <v>Valor-Unit.</v>
          </cell>
        </row>
        <row r="375">
          <cell r="A375" t="str">
            <v>TRANSPORTE DESDE ISTMINA</v>
          </cell>
          <cell r="E375" t="str">
            <v>m3/km</v>
          </cell>
          <cell r="F375">
            <v>0.05</v>
          </cell>
          <cell r="G375">
            <v>9.6</v>
          </cell>
          <cell r="H375">
            <v>8681</v>
          </cell>
          <cell r="I375">
            <v>4166.88</v>
          </cell>
        </row>
        <row r="376">
          <cell r="E376" t="str">
            <v/>
          </cell>
          <cell r="G376" t="str">
            <v/>
          </cell>
          <cell r="H376" t="str">
            <v/>
          </cell>
          <cell r="I376" t="str">
            <v/>
          </cell>
        </row>
        <row r="379">
          <cell r="A379" t="str">
            <v>Sub-Total</v>
          </cell>
          <cell r="J379">
            <v>4166.88</v>
          </cell>
        </row>
        <row r="380">
          <cell r="A380" t="str">
            <v>IV. MANO DE OBRA</v>
          </cell>
        </row>
        <row r="381">
          <cell r="A381" t="str">
            <v>Trabajador</v>
          </cell>
          <cell r="E381" t="str">
            <v>Jornal</v>
          </cell>
          <cell r="F381" t="str">
            <v>Prestaciones</v>
          </cell>
          <cell r="G381" t="str">
            <v>Jornal Total</v>
          </cell>
          <cell r="H381" t="str">
            <v>Rendimiento</v>
          </cell>
          <cell r="I381" t="str">
            <v>Valor-Unit.</v>
          </cell>
        </row>
        <row r="382">
          <cell r="A382" t="str">
            <v>OFICIAL B</v>
          </cell>
          <cell r="D382">
            <v>1</v>
          </cell>
          <cell r="E382">
            <v>142350</v>
          </cell>
          <cell r="F382">
            <v>1.5821008628015805</v>
          </cell>
          <cell r="G382">
            <v>225212.05781980499</v>
          </cell>
          <cell r="H382">
            <v>40</v>
          </cell>
          <cell r="I382">
            <v>5630</v>
          </cell>
        </row>
        <row r="383">
          <cell r="A383" t="str">
            <v>AYUDANTE ENTENDIDO</v>
          </cell>
          <cell r="D383">
            <v>2</v>
          </cell>
          <cell r="E383">
            <v>77842</v>
          </cell>
          <cell r="F383">
            <v>1.6752877632282406</v>
          </cell>
          <cell r="G383">
            <v>260815.50013042541</v>
          </cell>
          <cell r="H383">
            <v>40</v>
          </cell>
          <cell r="I383">
            <v>6520</v>
          </cell>
        </row>
        <row r="384">
          <cell r="E384" t="str">
            <v/>
          </cell>
          <cell r="F384" t="str">
            <v/>
          </cell>
          <cell r="G384" t="str">
            <v/>
          </cell>
          <cell r="I384" t="str">
            <v/>
          </cell>
        </row>
        <row r="386">
          <cell r="A386" t="str">
            <v>Sub-Total</v>
          </cell>
          <cell r="J386">
            <v>12150</v>
          </cell>
        </row>
        <row r="387">
          <cell r="A387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389">
          <cell r="A389" t="str">
            <v xml:space="preserve">ITEM:  </v>
          </cell>
          <cell r="B389" t="str">
            <v>DESCRIPCION</v>
          </cell>
          <cell r="I389" t="str">
            <v>UNIDAD:</v>
          </cell>
          <cell r="J389" t="str">
            <v>COSTO DIRECTO</v>
          </cell>
        </row>
        <row r="390">
          <cell r="A390">
            <v>5.04</v>
          </cell>
          <cell r="B390" t="str">
            <v xml:space="preserve">Construcción de cuarto de máquinas. </v>
          </cell>
          <cell r="I390" t="str">
            <v>UN</v>
          </cell>
          <cell r="J390">
            <v>1475892</v>
          </cell>
        </row>
        <row r="391">
          <cell r="A391" t="str">
            <v>I. EQUIPO</v>
          </cell>
        </row>
        <row r="392">
          <cell r="A392" t="str">
            <v>Descripción</v>
          </cell>
          <cell r="F392" t="str">
            <v>Tipo</v>
          </cell>
          <cell r="G392" t="str">
            <v>Tarifa/dia</v>
          </cell>
          <cell r="H392" t="str">
            <v>Rendimiento</v>
          </cell>
          <cell r="I392" t="str">
            <v>Valor-Unit.</v>
          </cell>
        </row>
        <row r="393">
          <cell r="A393" t="str">
            <v>Herramienta menor (% Mano de obra)</v>
          </cell>
          <cell r="G393">
            <v>0.05</v>
          </cell>
          <cell r="I393">
            <v>33635</v>
          </cell>
        </row>
        <row r="394">
          <cell r="A394" t="str">
            <v xml:space="preserve">PULIDORA </v>
          </cell>
          <cell r="F394" t="str">
            <v>DIA</v>
          </cell>
          <cell r="G394">
            <v>32500</v>
          </cell>
          <cell r="H394">
            <v>1</v>
          </cell>
          <cell r="I394">
            <v>32500</v>
          </cell>
        </row>
        <row r="395">
          <cell r="A395" t="str">
            <v xml:space="preserve">TALADRO </v>
          </cell>
          <cell r="F395" t="str">
            <v>DIA</v>
          </cell>
          <cell r="G395">
            <v>50000</v>
          </cell>
          <cell r="H395">
            <v>1</v>
          </cell>
          <cell r="I395">
            <v>50000</v>
          </cell>
        </row>
        <row r="396">
          <cell r="F396" t="str">
            <v/>
          </cell>
          <cell r="G396" t="str">
            <v/>
          </cell>
          <cell r="H396" t="str">
            <v/>
          </cell>
          <cell r="I396" t="str">
            <v/>
          </cell>
        </row>
        <row r="398">
          <cell r="A398" t="str">
            <v>Sub-Total</v>
          </cell>
          <cell r="J398">
            <v>116135</v>
          </cell>
        </row>
        <row r="399">
          <cell r="A399" t="str">
            <v>II. MATERIALES EN OBRA</v>
          </cell>
        </row>
        <row r="400">
          <cell r="A400" t="str">
            <v>Descripción</v>
          </cell>
          <cell r="E400" t="str">
            <v>Unidad</v>
          </cell>
          <cell r="F400" t="str">
            <v>Precio-Unit.</v>
          </cell>
          <cell r="G400" t="str">
            <v>Cantidad</v>
          </cell>
          <cell r="H400" t="str">
            <v>Desperdicio</v>
          </cell>
          <cell r="I400" t="str">
            <v>Valor-Unit.</v>
          </cell>
        </row>
        <row r="401">
          <cell r="A401" t="str">
            <v>Ladrillo 10x15x30cm</v>
          </cell>
          <cell r="E401" t="str">
            <v>un</v>
          </cell>
          <cell r="F401">
            <v>3000</v>
          </cell>
          <cell r="G401">
            <v>50</v>
          </cell>
          <cell r="I401">
            <v>150000</v>
          </cell>
        </row>
        <row r="402">
          <cell r="A402" t="str">
            <v>Mortero 1:4</v>
          </cell>
          <cell r="E402" t="str">
            <v>m3</v>
          </cell>
          <cell r="F402">
            <v>977096</v>
          </cell>
          <cell r="G402">
            <v>0.24</v>
          </cell>
          <cell r="I402">
            <v>234503</v>
          </cell>
        </row>
        <row r="403">
          <cell r="A403" t="str">
            <v>Lámina de policarbonato de 6mm</v>
          </cell>
          <cell r="E403" t="str">
            <v>m2</v>
          </cell>
          <cell r="F403">
            <v>71500</v>
          </cell>
          <cell r="G403">
            <v>1.44</v>
          </cell>
          <cell r="I403">
            <v>102960</v>
          </cell>
        </row>
        <row r="404">
          <cell r="A404" t="str">
            <v>Concreto 3000 Psi (21 Mpa)</v>
          </cell>
          <cell r="E404" t="str">
            <v>m3</v>
          </cell>
          <cell r="F404">
            <v>840990</v>
          </cell>
          <cell r="G404">
            <v>0.1</v>
          </cell>
          <cell r="I404">
            <v>84099</v>
          </cell>
        </row>
        <row r="405">
          <cell r="A405" t="str">
            <v>Impermeabilizante</v>
          </cell>
          <cell r="E405" t="str">
            <v>Galón</v>
          </cell>
          <cell r="F405">
            <v>150000</v>
          </cell>
          <cell r="G405">
            <v>0.25</v>
          </cell>
          <cell r="I405">
            <v>37500</v>
          </cell>
        </row>
        <row r="406">
          <cell r="A406" t="str">
            <v>Liston 2" x 2" x 3m</v>
          </cell>
          <cell r="E406" t="str">
            <v>UN</v>
          </cell>
          <cell r="F406">
            <v>18000</v>
          </cell>
          <cell r="G406">
            <v>1</v>
          </cell>
          <cell r="I406">
            <v>18000</v>
          </cell>
        </row>
        <row r="407">
          <cell r="I407">
            <v>0</v>
          </cell>
        </row>
        <row r="408">
          <cell r="I408">
            <v>0</v>
          </cell>
        </row>
        <row r="409">
          <cell r="I409">
            <v>0</v>
          </cell>
        </row>
        <row r="410">
          <cell r="I410">
            <v>0</v>
          </cell>
        </row>
        <row r="411">
          <cell r="I411">
            <v>0</v>
          </cell>
        </row>
        <row r="412">
          <cell r="A412" t="str">
            <v>Sub-Total</v>
          </cell>
          <cell r="J412">
            <v>627062</v>
          </cell>
        </row>
        <row r="413">
          <cell r="A413" t="str">
            <v>III. TRANSPORTES</v>
          </cell>
        </row>
        <row r="414">
          <cell r="A414" t="str">
            <v>Material</v>
          </cell>
          <cell r="E414" t="str">
            <v>TIPO</v>
          </cell>
          <cell r="F414" t="str">
            <v>Vol. Peso ó Cant.</v>
          </cell>
          <cell r="G414" t="str">
            <v>Distancia</v>
          </cell>
          <cell r="H414" t="str">
            <v>Tarifa</v>
          </cell>
          <cell r="I414" t="str">
            <v>Valor-Unit.</v>
          </cell>
        </row>
        <row r="415">
          <cell r="A415" t="str">
            <v>TRANSPORTE INTERNO</v>
          </cell>
          <cell r="E415" t="str">
            <v>M3</v>
          </cell>
          <cell r="F415">
            <v>1</v>
          </cell>
          <cell r="G415">
            <v>3</v>
          </cell>
          <cell r="H415">
            <v>15000</v>
          </cell>
          <cell r="I415">
            <v>45000</v>
          </cell>
        </row>
        <row r="416">
          <cell r="A416" t="str">
            <v>TRANSPORTE DISPOSICION DE MATERIAL SOBRANTE</v>
          </cell>
          <cell r="E416" t="str">
            <v>M3</v>
          </cell>
          <cell r="F416">
            <v>1</v>
          </cell>
          <cell r="G416">
            <v>5</v>
          </cell>
          <cell r="H416">
            <v>3000</v>
          </cell>
          <cell r="I416">
            <v>15000</v>
          </cell>
        </row>
        <row r="419">
          <cell r="A419" t="str">
            <v>Sub-Total</v>
          </cell>
          <cell r="J419">
            <v>60000</v>
          </cell>
        </row>
        <row r="420">
          <cell r="A420" t="str">
            <v>IV. MANO DE OBRA</v>
          </cell>
        </row>
        <row r="421">
          <cell r="A421" t="str">
            <v>Trabajador</v>
          </cell>
          <cell r="E421" t="str">
            <v>Jornal</v>
          </cell>
          <cell r="F421" t="str">
            <v>Prestaciones</v>
          </cell>
          <cell r="G421" t="str">
            <v>Jornal Total</v>
          </cell>
          <cell r="H421" t="str">
            <v>Rendimiento</v>
          </cell>
          <cell r="I421" t="str">
            <v>Valor-Unit.</v>
          </cell>
        </row>
        <row r="422">
          <cell r="A422" t="str">
            <v>OFICIAL B</v>
          </cell>
          <cell r="D422">
            <v>1</v>
          </cell>
          <cell r="E422">
            <v>142350</v>
          </cell>
          <cell r="F422">
            <v>1.5821008628015805</v>
          </cell>
          <cell r="G422">
            <v>225212.05781980499</v>
          </cell>
          <cell r="H422">
            <v>1</v>
          </cell>
          <cell r="I422">
            <v>225212.05781980499</v>
          </cell>
        </row>
        <row r="423">
          <cell r="A423" t="str">
            <v>AYUDANTE ENTENDIDO</v>
          </cell>
          <cell r="D423">
            <v>2</v>
          </cell>
          <cell r="E423">
            <v>77842</v>
          </cell>
          <cell r="F423">
            <v>1.6752877632282406</v>
          </cell>
          <cell r="G423">
            <v>260815.50013042541</v>
          </cell>
          <cell r="H423">
            <v>1</v>
          </cell>
          <cell r="I423">
            <v>260815.50013042541</v>
          </cell>
        </row>
        <row r="424">
          <cell r="A424" t="str">
            <v xml:space="preserve"> AYUDANTE RASO</v>
          </cell>
          <cell r="D424">
            <v>2</v>
          </cell>
          <cell r="E424">
            <v>54117</v>
          </cell>
          <cell r="F424">
            <v>1.7246636834087141</v>
          </cell>
          <cell r="G424">
            <v>186667.24911005876</v>
          </cell>
          <cell r="H424">
            <v>1</v>
          </cell>
          <cell r="I424">
            <v>186667.24911005876</v>
          </cell>
        </row>
        <row r="426">
          <cell r="A426" t="str">
            <v>Sub-Total</v>
          </cell>
          <cell r="J426">
            <v>672694.8070602892</v>
          </cell>
        </row>
        <row r="427">
          <cell r="A427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429">
          <cell r="A429" t="str">
            <v xml:space="preserve">ITEM:  </v>
          </cell>
          <cell r="B429" t="str">
            <v>DESCRIPCION</v>
          </cell>
          <cell r="I429" t="str">
            <v>UNIDAD:</v>
          </cell>
          <cell r="J429" t="str">
            <v>COSTO DIRECTO</v>
          </cell>
        </row>
        <row r="430">
          <cell r="A430">
            <v>5.05</v>
          </cell>
          <cell r="B430" t="str">
            <v>Suministro e instalación de moto bomba de 2x2 autocebante para la evacuación de tanques de los lixiviados</v>
          </cell>
          <cell r="I430" t="str">
            <v>UN</v>
          </cell>
          <cell r="J430">
            <v>4210402</v>
          </cell>
        </row>
        <row r="431">
          <cell r="A431" t="str">
            <v>I. EQUIPO</v>
          </cell>
        </row>
        <row r="432">
          <cell r="A432" t="str">
            <v>Descripción</v>
          </cell>
          <cell r="F432" t="str">
            <v>Tipo</v>
          </cell>
          <cell r="G432" t="str">
            <v>Tarifa/dia</v>
          </cell>
          <cell r="H432" t="str">
            <v>Rendimiento</v>
          </cell>
          <cell r="I432" t="str">
            <v>Valor-Unit.</v>
          </cell>
        </row>
        <row r="433">
          <cell r="A433" t="str">
            <v>Herramienta menor (% Mano de obra)</v>
          </cell>
          <cell r="G433">
            <v>0.05</v>
          </cell>
          <cell r="I433">
            <v>17781</v>
          </cell>
        </row>
        <row r="434">
          <cell r="F434" t="str">
            <v/>
          </cell>
          <cell r="G434" t="str">
            <v/>
          </cell>
          <cell r="H434" t="str">
            <v/>
          </cell>
          <cell r="I434" t="str">
            <v/>
          </cell>
        </row>
        <row r="435">
          <cell r="F435" t="str">
            <v/>
          </cell>
          <cell r="G435" t="str">
            <v/>
          </cell>
          <cell r="H435" t="str">
            <v/>
          </cell>
          <cell r="I435" t="str">
            <v/>
          </cell>
        </row>
        <row r="436">
          <cell r="F436" t="str">
            <v/>
          </cell>
          <cell r="G436" t="str">
            <v/>
          </cell>
          <cell r="H436" t="str">
            <v/>
          </cell>
          <cell r="I436" t="str">
            <v/>
          </cell>
        </row>
        <row r="437">
          <cell r="F437" t="str">
            <v/>
          </cell>
          <cell r="G437" t="str">
            <v/>
          </cell>
          <cell r="H437" t="str">
            <v/>
          </cell>
          <cell r="I437" t="str">
            <v/>
          </cell>
        </row>
        <row r="438">
          <cell r="A438" t="str">
            <v>Sub-Total</v>
          </cell>
          <cell r="J438">
            <v>17781</v>
          </cell>
        </row>
        <row r="439">
          <cell r="A439" t="str">
            <v>II. MATERIALES EN OBRA</v>
          </cell>
        </row>
        <row r="440">
          <cell r="A440" t="str">
            <v>Descripción</v>
          </cell>
          <cell r="E440" t="str">
            <v>Unidad</v>
          </cell>
          <cell r="F440" t="str">
            <v>Precio-Unit.</v>
          </cell>
          <cell r="G440" t="str">
            <v>Cantidad</v>
          </cell>
          <cell r="H440" t="str">
            <v>Desperdicio</v>
          </cell>
          <cell r="I440" t="str">
            <v>Valor-Unit.</v>
          </cell>
        </row>
        <row r="441">
          <cell r="A441" t="str">
            <v>Motobomba 2x2</v>
          </cell>
          <cell r="E441" t="str">
            <v>UN</v>
          </cell>
          <cell r="F441">
            <v>3562900</v>
          </cell>
          <cell r="G441">
            <v>1</v>
          </cell>
          <cell r="I441">
            <v>3562900</v>
          </cell>
        </row>
        <row r="442">
          <cell r="A442" t="str">
            <v xml:space="preserve">Cable encauchetado 3x12 AWG libre de halogenos </v>
          </cell>
          <cell r="E442" t="str">
            <v>m</v>
          </cell>
          <cell r="F442">
            <v>6000</v>
          </cell>
          <cell r="G442">
            <v>6</v>
          </cell>
          <cell r="I442">
            <v>36000</v>
          </cell>
        </row>
        <row r="443">
          <cell r="E443" t="str">
            <v/>
          </cell>
          <cell r="F443" t="str">
            <v/>
          </cell>
          <cell r="I443" t="str">
            <v/>
          </cell>
        </row>
        <row r="444">
          <cell r="E444" t="str">
            <v/>
          </cell>
          <cell r="F444" t="str">
            <v/>
          </cell>
          <cell r="I444" t="str">
            <v/>
          </cell>
        </row>
        <row r="445">
          <cell r="I445">
            <v>0</v>
          </cell>
        </row>
        <row r="446">
          <cell r="A446" t="str">
            <v>Sub-Total</v>
          </cell>
          <cell r="J446">
            <v>3598900</v>
          </cell>
        </row>
        <row r="447">
          <cell r="A447" t="str">
            <v>III. TRANSPORTES</v>
          </cell>
        </row>
        <row r="448">
          <cell r="A448" t="str">
            <v>Material</v>
          </cell>
          <cell r="E448" t="str">
            <v>TIPO</v>
          </cell>
          <cell r="F448" t="str">
            <v>Vol. Peso ó Cant.</v>
          </cell>
          <cell r="G448" t="str">
            <v>Distancia</v>
          </cell>
          <cell r="H448" t="str">
            <v>Tarifa</v>
          </cell>
          <cell r="I448" t="str">
            <v>Valor-Unit.</v>
          </cell>
        </row>
        <row r="449">
          <cell r="A449" t="str">
            <v>TRANSPORTE DESDE MEDELLIN</v>
          </cell>
          <cell r="E449" t="str">
            <v>m3/km</v>
          </cell>
          <cell r="F449">
            <v>0.32000000000000006</v>
          </cell>
          <cell r="G449">
            <v>413.59999999999997</v>
          </cell>
          <cell r="H449">
            <v>1799</v>
          </cell>
          <cell r="I449">
            <v>238101.24800000002</v>
          </cell>
        </row>
        <row r="450">
          <cell r="E450" t="str">
            <v/>
          </cell>
          <cell r="G450" t="str">
            <v/>
          </cell>
          <cell r="H450" t="str">
            <v/>
          </cell>
          <cell r="I450" t="str">
            <v/>
          </cell>
        </row>
        <row r="453">
          <cell r="A453" t="str">
            <v>Sub-Total</v>
          </cell>
          <cell r="J453">
            <v>238101.24800000002</v>
          </cell>
        </row>
        <row r="454">
          <cell r="A454" t="str">
            <v>IV. MANO DE OBRA</v>
          </cell>
        </row>
        <row r="455">
          <cell r="A455" t="str">
            <v>Trabajador</v>
          </cell>
          <cell r="E455" t="str">
            <v>Jornal</v>
          </cell>
          <cell r="F455" t="str">
            <v>Prestaciones</v>
          </cell>
          <cell r="G455" t="str">
            <v>Jornal Total</v>
          </cell>
          <cell r="H455" t="str">
            <v>Rendimiento</v>
          </cell>
          <cell r="I455" t="str">
            <v>Valor-Unit.</v>
          </cell>
        </row>
        <row r="456">
          <cell r="A456" t="str">
            <v>OFICIAL B</v>
          </cell>
          <cell r="D456">
            <v>1</v>
          </cell>
          <cell r="E456">
            <v>142350</v>
          </cell>
          <cell r="F456">
            <v>1.5821008628015805</v>
          </cell>
          <cell r="G456">
            <v>225212.05781980499</v>
          </cell>
          <cell r="H456">
            <v>1</v>
          </cell>
          <cell r="I456">
            <v>225212.05781980499</v>
          </cell>
        </row>
        <row r="457">
          <cell r="A457" t="str">
            <v>AYUDANTE ENTENDIDO</v>
          </cell>
          <cell r="D457">
            <v>1</v>
          </cell>
          <cell r="E457">
            <v>77842</v>
          </cell>
          <cell r="F457">
            <v>1.6752877632282406</v>
          </cell>
          <cell r="G457">
            <v>130407.75006521271</v>
          </cell>
          <cell r="H457">
            <v>1</v>
          </cell>
          <cell r="I457">
            <v>130407.75006521271</v>
          </cell>
        </row>
        <row r="458">
          <cell r="E458" t="str">
            <v/>
          </cell>
          <cell r="F458" t="str">
            <v/>
          </cell>
          <cell r="G458" t="str">
            <v/>
          </cell>
          <cell r="I458" t="str">
            <v/>
          </cell>
        </row>
        <row r="460">
          <cell r="A460" t="str">
            <v>Sub-Total</v>
          </cell>
          <cell r="J460">
            <v>355619.80788501771</v>
          </cell>
        </row>
        <row r="461">
          <cell r="A461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463">
          <cell r="A463" t="str">
            <v xml:space="preserve">ITEM:  </v>
          </cell>
          <cell r="B463" t="str">
            <v>DESCRIPCION</v>
          </cell>
          <cell r="I463" t="str">
            <v>UNIDAD:</v>
          </cell>
          <cell r="J463" t="str">
            <v>COSTO DIRECTO</v>
          </cell>
        </row>
        <row r="464">
          <cell r="A464">
            <v>5.0599999999999996</v>
          </cell>
          <cell r="B464" t="str">
            <v xml:space="preserve">Suministro e instalación de Manguera de 2" Descarga Plana 2 Tipo Bombero. </v>
          </cell>
          <cell r="I464" t="str">
            <v>M</v>
          </cell>
          <cell r="J464">
            <v>22867</v>
          </cell>
        </row>
        <row r="465">
          <cell r="A465" t="str">
            <v>I. EQUIPO</v>
          </cell>
        </row>
        <row r="466">
          <cell r="A466" t="str">
            <v>Descripción</v>
          </cell>
          <cell r="F466" t="str">
            <v>Tipo</v>
          </cell>
          <cell r="G466" t="str">
            <v>Tarifa/dia</v>
          </cell>
          <cell r="H466" t="str">
            <v>Rendimiento</v>
          </cell>
          <cell r="I466" t="str">
            <v>Valor-Unit.</v>
          </cell>
        </row>
        <row r="467">
          <cell r="A467" t="str">
            <v>Herramienta menor (% Mano de obra)</v>
          </cell>
          <cell r="G467">
            <v>0.05</v>
          </cell>
          <cell r="I467">
            <v>89</v>
          </cell>
        </row>
        <row r="468">
          <cell r="F468" t="str">
            <v/>
          </cell>
          <cell r="G468" t="str">
            <v/>
          </cell>
          <cell r="H468">
            <v>5.0000000000000001E-3</v>
          </cell>
          <cell r="I468" t="str">
            <v/>
          </cell>
        </row>
        <row r="469">
          <cell r="F469" t="str">
            <v/>
          </cell>
          <cell r="G469" t="str">
            <v/>
          </cell>
          <cell r="H469" t="str">
            <v/>
          </cell>
          <cell r="I469" t="str">
            <v/>
          </cell>
        </row>
        <row r="470">
          <cell r="F470" t="str">
            <v/>
          </cell>
          <cell r="G470" t="str">
            <v/>
          </cell>
          <cell r="H470" t="str">
            <v/>
          </cell>
          <cell r="I470" t="str">
            <v/>
          </cell>
        </row>
        <row r="472">
          <cell r="A472" t="str">
            <v>Sub-Total</v>
          </cell>
          <cell r="J472">
            <v>89</v>
          </cell>
        </row>
        <row r="473">
          <cell r="A473" t="str">
            <v>II. MATERIALES EN OBRA</v>
          </cell>
        </row>
        <row r="474">
          <cell r="A474" t="str">
            <v>Descripción</v>
          </cell>
          <cell r="E474" t="str">
            <v>Unidad</v>
          </cell>
          <cell r="F474" t="str">
            <v>Precio-Unit.</v>
          </cell>
          <cell r="G474" t="str">
            <v>Cantidad</v>
          </cell>
          <cell r="H474" t="str">
            <v>Desperdicio</v>
          </cell>
          <cell r="I474" t="str">
            <v>Valor-Unit.</v>
          </cell>
        </row>
        <row r="475">
          <cell r="A475" t="str">
            <v>Manguera de 2"</v>
          </cell>
          <cell r="E475" t="str">
            <v>m</v>
          </cell>
          <cell r="F475">
            <v>20000</v>
          </cell>
          <cell r="G475">
            <v>1</v>
          </cell>
          <cell r="H475">
            <v>0.05</v>
          </cell>
          <cell r="I475">
            <v>21000</v>
          </cell>
        </row>
        <row r="476">
          <cell r="E476" t="str">
            <v/>
          </cell>
          <cell r="F476" t="str">
            <v/>
          </cell>
          <cell r="I476" t="str">
            <v/>
          </cell>
        </row>
        <row r="477">
          <cell r="E477" t="str">
            <v/>
          </cell>
          <cell r="F477" t="str">
            <v/>
          </cell>
          <cell r="I477" t="str">
            <v/>
          </cell>
        </row>
        <row r="478">
          <cell r="E478" t="str">
            <v/>
          </cell>
          <cell r="F478" t="str">
            <v/>
          </cell>
          <cell r="I478" t="str">
            <v/>
          </cell>
        </row>
        <row r="479">
          <cell r="E479" t="str">
            <v/>
          </cell>
          <cell r="F479" t="str">
            <v/>
          </cell>
          <cell r="I479" t="str">
            <v/>
          </cell>
        </row>
        <row r="480">
          <cell r="E480" t="str">
            <v/>
          </cell>
          <cell r="F480" t="str">
            <v/>
          </cell>
          <cell r="I480" t="str">
            <v/>
          </cell>
        </row>
        <row r="481">
          <cell r="E481" t="str">
            <v/>
          </cell>
          <cell r="F481" t="str">
            <v/>
          </cell>
          <cell r="I481" t="str">
            <v/>
          </cell>
        </row>
        <row r="482">
          <cell r="E482" t="str">
            <v/>
          </cell>
          <cell r="F482" t="str">
            <v/>
          </cell>
          <cell r="I482" t="str">
            <v/>
          </cell>
        </row>
        <row r="483">
          <cell r="E483" t="str">
            <v/>
          </cell>
          <cell r="F483" t="str">
            <v/>
          </cell>
          <cell r="I483" t="str">
            <v/>
          </cell>
        </row>
        <row r="487">
          <cell r="I487">
            <v>0</v>
          </cell>
        </row>
        <row r="488">
          <cell r="A488" t="str">
            <v>Sub-Total</v>
          </cell>
          <cell r="J488">
            <v>21000</v>
          </cell>
        </row>
        <row r="489">
          <cell r="A489" t="str">
            <v>III. TRANSPORTES</v>
          </cell>
        </row>
        <row r="490">
          <cell r="A490" t="str">
            <v>Material</v>
          </cell>
          <cell r="E490" t="str">
            <v>TIPO</v>
          </cell>
          <cell r="F490" t="str">
            <v>Vol. Peso ó Cant.</v>
          </cell>
          <cell r="G490" t="str">
            <v>Distancia</v>
          </cell>
          <cell r="H490" t="str">
            <v>Tarifa</v>
          </cell>
          <cell r="I490" t="str">
            <v>Valor-Unit.</v>
          </cell>
        </row>
        <row r="492">
          <cell r="E492" t="str">
            <v/>
          </cell>
          <cell r="G492" t="str">
            <v/>
          </cell>
          <cell r="H492" t="str">
            <v/>
          </cell>
          <cell r="I492" t="str">
            <v/>
          </cell>
        </row>
        <row r="495">
          <cell r="A495" t="str">
            <v>Sub-Total</v>
          </cell>
          <cell r="J495">
            <v>0</v>
          </cell>
        </row>
        <row r="496">
          <cell r="A496" t="str">
            <v>IV. MANO DE OBRA</v>
          </cell>
        </row>
        <row r="497">
          <cell r="A497" t="str">
            <v>Trabajador</v>
          </cell>
          <cell r="E497" t="str">
            <v>Jornal</v>
          </cell>
          <cell r="F497" t="str">
            <v>Prestaciones</v>
          </cell>
          <cell r="G497" t="str">
            <v>Jornal Total</v>
          </cell>
          <cell r="H497" t="str">
            <v>Rendimiento</v>
          </cell>
          <cell r="I497" t="str">
            <v>Valor-Unit.</v>
          </cell>
        </row>
        <row r="498">
          <cell r="A498" t="str">
            <v>OFICIAL B</v>
          </cell>
          <cell r="D498">
            <v>1</v>
          </cell>
          <cell r="E498">
            <v>142350</v>
          </cell>
          <cell r="F498">
            <v>1.5821008628015805</v>
          </cell>
          <cell r="G498">
            <v>225212.05781980499</v>
          </cell>
          <cell r="H498">
            <v>200</v>
          </cell>
          <cell r="I498">
            <v>1126.0602890990249</v>
          </cell>
        </row>
        <row r="499">
          <cell r="A499" t="str">
            <v>AYUDANTE ENTENDIDO</v>
          </cell>
          <cell r="D499">
            <v>1</v>
          </cell>
          <cell r="E499">
            <v>77842</v>
          </cell>
          <cell r="F499">
            <v>1.6752877632282406</v>
          </cell>
          <cell r="G499">
            <v>130407.75006521271</v>
          </cell>
          <cell r="H499">
            <v>200</v>
          </cell>
          <cell r="I499">
            <v>652.03875032606356</v>
          </cell>
        </row>
        <row r="501">
          <cell r="A501" t="str">
            <v>Sub-Total</v>
          </cell>
          <cell r="J501">
            <v>1778.0990394250884</v>
          </cell>
        </row>
        <row r="502">
          <cell r="A502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504">
          <cell r="A504" t="str">
            <v xml:space="preserve">ITEM:  </v>
          </cell>
          <cell r="B504" t="str">
            <v>DESCRIPCION</v>
          </cell>
          <cell r="I504" t="str">
            <v>UNIDAD:</v>
          </cell>
          <cell r="J504" t="str">
            <v>COSTO DIRECTO</v>
          </cell>
        </row>
        <row r="505">
          <cell r="A505">
            <v>5.07</v>
          </cell>
          <cell r="B505" t="str">
            <v xml:space="preserve">Construccion de Caja de inspeccion de 1,0x1,0x1,0 m, en concreto de 21 MPa, Incluye excavacion, formaleta, acero, suministro, transporte e instalación del concreto, mano de obra, vibrado, curado y protección. </v>
          </cell>
          <cell r="I505" t="str">
            <v>UN</v>
          </cell>
          <cell r="J505">
            <v>1986664</v>
          </cell>
        </row>
        <row r="506">
          <cell r="A506" t="str">
            <v>I. EQUIPO</v>
          </cell>
        </row>
        <row r="507">
          <cell r="A507" t="str">
            <v>Descripción</v>
          </cell>
          <cell r="F507" t="str">
            <v>Tipo</v>
          </cell>
          <cell r="G507" t="str">
            <v>Tarifa/dia</v>
          </cell>
          <cell r="H507" t="str">
            <v>Rendimiento</v>
          </cell>
          <cell r="I507" t="str">
            <v>Valor-Unit.</v>
          </cell>
        </row>
        <row r="508">
          <cell r="A508" t="str">
            <v>Herramienta menor (% Mano de obra)</v>
          </cell>
          <cell r="G508">
            <v>0.05</v>
          </cell>
          <cell r="I508">
            <v>33634.740353014458</v>
          </cell>
        </row>
        <row r="509">
          <cell r="H509" t="str">
            <v/>
          </cell>
        </row>
        <row r="511">
          <cell r="A511" t="str">
            <v>Sub-Total</v>
          </cell>
          <cell r="J511">
            <v>33634.740353014458</v>
          </cell>
        </row>
        <row r="512">
          <cell r="A512" t="str">
            <v>II. MATERIALES EN OBRA</v>
          </cell>
        </row>
        <row r="513">
          <cell r="A513" t="str">
            <v>Descripción</v>
          </cell>
          <cell r="E513" t="str">
            <v>Unidad</v>
          </cell>
          <cell r="F513" t="str">
            <v>Precio-Unit.</v>
          </cell>
          <cell r="G513" t="str">
            <v>Cantidad</v>
          </cell>
          <cell r="H513" t="str">
            <v>Desperdicio</v>
          </cell>
          <cell r="I513" t="str">
            <v>Valor-Unit.</v>
          </cell>
        </row>
        <row r="514">
          <cell r="A514" t="str">
            <v>Concreto 3000 Psi (21 Mpa)</v>
          </cell>
          <cell r="E514" t="str">
            <v>m3</v>
          </cell>
          <cell r="F514">
            <v>1093287</v>
          </cell>
          <cell r="G514">
            <v>0.60000000000000009</v>
          </cell>
          <cell r="I514">
            <v>655972.20000000007</v>
          </cell>
        </row>
        <row r="515">
          <cell r="A515" t="str">
            <v>Varillas 1/2"</v>
          </cell>
          <cell r="E515" t="str">
            <v>UN</v>
          </cell>
          <cell r="F515">
            <v>30000</v>
          </cell>
          <cell r="G515">
            <v>8</v>
          </cell>
          <cell r="I515">
            <v>240000</v>
          </cell>
        </row>
        <row r="516">
          <cell r="A516" t="str">
            <v>Excavacion</v>
          </cell>
          <cell r="E516" t="str">
            <v>M3</v>
          </cell>
          <cell r="F516">
            <v>62600</v>
          </cell>
          <cell r="G516">
            <v>1</v>
          </cell>
          <cell r="I516">
            <v>62600</v>
          </cell>
        </row>
        <row r="517">
          <cell r="A517" t="str">
            <v>Formaleta en madera común</v>
          </cell>
          <cell r="E517" t="str">
            <v>m2</v>
          </cell>
          <cell r="F517">
            <v>73878</v>
          </cell>
          <cell r="G517">
            <v>4</v>
          </cell>
          <cell r="I517">
            <v>295512</v>
          </cell>
        </row>
        <row r="518">
          <cell r="E518" t="str">
            <v/>
          </cell>
          <cell r="F518" t="str">
            <v/>
          </cell>
          <cell r="I518" t="str">
            <v/>
          </cell>
        </row>
        <row r="519">
          <cell r="E519" t="str">
            <v/>
          </cell>
          <cell r="F519" t="str">
            <v/>
          </cell>
          <cell r="I519" t="str">
            <v/>
          </cell>
        </row>
        <row r="520">
          <cell r="E520" t="str">
            <v/>
          </cell>
          <cell r="F520" t="str">
            <v/>
          </cell>
          <cell r="I520" t="str">
            <v/>
          </cell>
        </row>
        <row r="521">
          <cell r="I521">
            <v>0</v>
          </cell>
        </row>
        <row r="522">
          <cell r="E522" t="str">
            <v/>
          </cell>
          <cell r="F522" t="str">
            <v/>
          </cell>
          <cell r="I522" t="str">
            <v/>
          </cell>
        </row>
        <row r="523">
          <cell r="E523" t="str">
            <v/>
          </cell>
          <cell r="F523" t="str">
            <v/>
          </cell>
          <cell r="I523" t="str">
            <v/>
          </cell>
        </row>
        <row r="524">
          <cell r="E524" t="str">
            <v/>
          </cell>
          <cell r="F524" t="str">
            <v/>
          </cell>
          <cell r="I524" t="str">
            <v/>
          </cell>
        </row>
        <row r="525">
          <cell r="E525" t="str">
            <v/>
          </cell>
          <cell r="F525" t="str">
            <v/>
          </cell>
          <cell r="I525" t="str">
            <v/>
          </cell>
        </row>
        <row r="526">
          <cell r="A526" t="str">
            <v>Sub-Total</v>
          </cell>
          <cell r="J526">
            <v>1254084.2000000002</v>
          </cell>
        </row>
        <row r="527">
          <cell r="A527" t="str">
            <v>III. TRANSPORTES</v>
          </cell>
        </row>
        <row r="528">
          <cell r="A528" t="str">
            <v>Material</v>
          </cell>
          <cell r="E528" t="str">
            <v>TIPO</v>
          </cell>
          <cell r="F528" t="str">
            <v>Vol. Peso ó Cant.</v>
          </cell>
          <cell r="G528" t="str">
            <v>Distancia</v>
          </cell>
          <cell r="H528" t="str">
            <v>Tarifa</v>
          </cell>
          <cell r="I528" t="str">
            <v>Valor-Unit.</v>
          </cell>
        </row>
        <row r="529">
          <cell r="A529" t="str">
            <v>TRANSPORTE INTERNO</v>
          </cell>
          <cell r="F529">
            <v>1.75</v>
          </cell>
          <cell r="G529">
            <v>1</v>
          </cell>
          <cell r="H529">
            <v>15000</v>
          </cell>
          <cell r="I529">
            <v>26250</v>
          </cell>
        </row>
        <row r="530">
          <cell r="E530" t="str">
            <v/>
          </cell>
          <cell r="G530" t="str">
            <v/>
          </cell>
          <cell r="H530" t="str">
            <v/>
          </cell>
          <cell r="I530" t="str">
            <v/>
          </cell>
        </row>
        <row r="533">
          <cell r="A533" t="str">
            <v>Sub-Total</v>
          </cell>
          <cell r="J533">
            <v>26250</v>
          </cell>
        </row>
        <row r="534">
          <cell r="A534" t="str">
            <v>IV. MANO DE OBRA</v>
          </cell>
        </row>
        <row r="535">
          <cell r="A535" t="str">
            <v>Trabajador</v>
          </cell>
          <cell r="E535" t="str">
            <v>Jornal</v>
          </cell>
          <cell r="F535" t="str">
            <v>Prestaciones</v>
          </cell>
          <cell r="G535" t="str">
            <v>Jornal Total</v>
          </cell>
          <cell r="H535" t="str">
            <v>Rendimiento</v>
          </cell>
          <cell r="I535" t="str">
            <v>Valor-Unit.</v>
          </cell>
        </row>
        <row r="536">
          <cell r="A536" t="str">
            <v>OFICIAL B</v>
          </cell>
          <cell r="D536">
            <v>1</v>
          </cell>
          <cell r="E536">
            <v>142350</v>
          </cell>
          <cell r="F536">
            <v>1.5821008628015805</v>
          </cell>
          <cell r="G536">
            <v>225212.05781980499</v>
          </cell>
          <cell r="H536">
            <v>1</v>
          </cell>
          <cell r="I536">
            <v>225212.05781980499</v>
          </cell>
        </row>
        <row r="537">
          <cell r="A537" t="str">
            <v>AYUDANTE ENTENDIDO</v>
          </cell>
          <cell r="D537">
            <v>2</v>
          </cell>
          <cell r="E537">
            <v>77842</v>
          </cell>
          <cell r="F537">
            <v>1.6752877632282406</v>
          </cell>
          <cell r="G537">
            <v>260815.50013042541</v>
          </cell>
          <cell r="H537">
            <v>1</v>
          </cell>
          <cell r="I537">
            <v>260815.50013042541</v>
          </cell>
        </row>
        <row r="538">
          <cell r="A538" t="str">
            <v xml:space="preserve"> AYUDANTE RASO</v>
          </cell>
          <cell r="D538">
            <v>2</v>
          </cell>
          <cell r="E538">
            <v>54117</v>
          </cell>
          <cell r="F538">
            <v>1.7246636834087141</v>
          </cell>
          <cell r="G538">
            <v>186667.24911005876</v>
          </cell>
          <cell r="H538">
            <v>1</v>
          </cell>
          <cell r="I538">
            <v>186667.24911005876</v>
          </cell>
        </row>
        <row r="540">
          <cell r="A540" t="str">
            <v>Sub-Total</v>
          </cell>
          <cell r="J540">
            <v>672694.8070602892</v>
          </cell>
        </row>
        <row r="541">
          <cell r="A541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543">
          <cell r="A543" t="str">
            <v xml:space="preserve">ITEM:  </v>
          </cell>
          <cell r="B543" t="str">
            <v>DESCRIPCION</v>
          </cell>
          <cell r="I543" t="str">
            <v>UNIDAD:</v>
          </cell>
          <cell r="J543" t="str">
            <v>COSTO DIRECTO</v>
          </cell>
        </row>
        <row r="544">
          <cell r="A544">
            <v>5.08</v>
          </cell>
          <cell r="B544" t="str">
            <v xml:space="preserve">Construccion de tanque de recoleccion y almacenamiento de lixiviados de 2.0x3.0x3.0 m, en concreto de 21 Mpa,  Incluye excavacion, formaleta, acero, suministro, transporte e instalación del concreto, mano de obra, vibrado, curado y protección.  </v>
          </cell>
          <cell r="I544" t="str">
            <v>UN</v>
          </cell>
          <cell r="J544">
            <v>9662076</v>
          </cell>
        </row>
        <row r="545">
          <cell r="A545" t="str">
            <v>I. EQUIPO</v>
          </cell>
        </row>
        <row r="546">
          <cell r="A546" t="str">
            <v>Descripción</v>
          </cell>
          <cell r="F546" t="str">
            <v>Tipo</v>
          </cell>
          <cell r="G546" t="str">
            <v>Tarifa/dia</v>
          </cell>
          <cell r="H546" t="str">
            <v>Rendimiento</v>
          </cell>
          <cell r="I546" t="str">
            <v>Valor-Unit.</v>
          </cell>
        </row>
        <row r="547">
          <cell r="A547" t="str">
            <v>Herramienta menor (% Mano de obra)</v>
          </cell>
          <cell r="G547">
            <v>0.05</v>
          </cell>
          <cell r="I547">
            <v>33634.740353014458</v>
          </cell>
        </row>
        <row r="548">
          <cell r="H548" t="str">
            <v/>
          </cell>
        </row>
        <row r="550">
          <cell r="A550" t="str">
            <v>Sub-Total</v>
          </cell>
          <cell r="J550">
            <v>33634.740353014458</v>
          </cell>
        </row>
        <row r="551">
          <cell r="A551" t="str">
            <v>II. MATERIALES EN OBRA</v>
          </cell>
        </row>
        <row r="552">
          <cell r="A552" t="str">
            <v>Descripción</v>
          </cell>
          <cell r="E552" t="str">
            <v>Unidad</v>
          </cell>
          <cell r="F552" t="str">
            <v>Precio-Unit.</v>
          </cell>
          <cell r="G552" t="str">
            <v>Cantidad</v>
          </cell>
          <cell r="H552" t="str">
            <v>Desperdicio</v>
          </cell>
          <cell r="I552" t="str">
            <v>Valor-Unit.</v>
          </cell>
        </row>
        <row r="553">
          <cell r="A553" t="str">
            <v>Concreto 3000 Psi (21 Mpa)</v>
          </cell>
          <cell r="E553" t="str">
            <v>m3</v>
          </cell>
          <cell r="F553">
            <v>840990</v>
          </cell>
          <cell r="G553">
            <v>4</v>
          </cell>
          <cell r="I553">
            <v>3363960</v>
          </cell>
        </row>
        <row r="554">
          <cell r="A554" t="str">
            <v>Varillas 1/2"</v>
          </cell>
          <cell r="E554" t="str">
            <v>UN</v>
          </cell>
          <cell r="F554">
            <v>30000</v>
          </cell>
          <cell r="G554">
            <v>76.666666666666671</v>
          </cell>
          <cell r="I554">
            <v>2300000</v>
          </cell>
        </row>
        <row r="555">
          <cell r="A555" t="str">
            <v>Excavacion</v>
          </cell>
          <cell r="E555" t="str">
            <v>M3</v>
          </cell>
          <cell r="F555">
            <v>62600</v>
          </cell>
          <cell r="G555">
            <v>14.4</v>
          </cell>
          <cell r="I555">
            <v>901440</v>
          </cell>
        </row>
        <row r="556">
          <cell r="A556" t="str">
            <v>Formaleta en madera común</v>
          </cell>
          <cell r="E556" t="str">
            <v>m2</v>
          </cell>
          <cell r="F556">
            <v>73878</v>
          </cell>
          <cell r="G556">
            <v>32</v>
          </cell>
          <cell r="I556">
            <v>2364096</v>
          </cell>
        </row>
        <row r="557">
          <cell r="E557" t="str">
            <v/>
          </cell>
          <cell r="F557" t="str">
            <v/>
          </cell>
          <cell r="I557" t="str">
            <v/>
          </cell>
        </row>
        <row r="558">
          <cell r="E558" t="str">
            <v/>
          </cell>
          <cell r="F558" t="str">
            <v/>
          </cell>
          <cell r="I558" t="str">
            <v/>
          </cell>
        </row>
        <row r="559">
          <cell r="E559" t="str">
            <v/>
          </cell>
          <cell r="F559" t="str">
            <v/>
          </cell>
          <cell r="I559" t="str">
            <v/>
          </cell>
        </row>
        <row r="560">
          <cell r="I560">
            <v>0</v>
          </cell>
        </row>
        <row r="561">
          <cell r="E561" t="str">
            <v/>
          </cell>
          <cell r="F561" t="str">
            <v/>
          </cell>
          <cell r="I561" t="str">
            <v/>
          </cell>
        </row>
        <row r="562">
          <cell r="E562" t="str">
            <v/>
          </cell>
          <cell r="F562" t="str">
            <v/>
          </cell>
          <cell r="I562" t="str">
            <v/>
          </cell>
        </row>
        <row r="563">
          <cell r="E563" t="str">
            <v/>
          </cell>
          <cell r="F563" t="str">
            <v/>
          </cell>
          <cell r="I563" t="str">
            <v/>
          </cell>
        </row>
        <row r="564">
          <cell r="E564" t="str">
            <v/>
          </cell>
          <cell r="F564" t="str">
            <v/>
          </cell>
          <cell r="I564" t="str">
            <v/>
          </cell>
        </row>
        <row r="565">
          <cell r="A565" t="str">
            <v>Sub-Total</v>
          </cell>
          <cell r="J565">
            <v>8929496</v>
          </cell>
        </row>
        <row r="566">
          <cell r="A566" t="str">
            <v>III. TRANSPORTES</v>
          </cell>
        </row>
        <row r="567">
          <cell r="A567" t="str">
            <v>Material</v>
          </cell>
          <cell r="E567" t="str">
            <v>TIPO</v>
          </cell>
          <cell r="F567" t="str">
            <v>Vol. Peso ó Cant.</v>
          </cell>
          <cell r="G567" t="str">
            <v>Distancia</v>
          </cell>
          <cell r="H567" t="str">
            <v>Tarifa</v>
          </cell>
          <cell r="I567" t="str">
            <v>Valor-Unit.</v>
          </cell>
        </row>
        <row r="568">
          <cell r="A568" t="str">
            <v>TRANSPORTE INTERNO</v>
          </cell>
          <cell r="F568">
            <v>1.75</v>
          </cell>
          <cell r="G568">
            <v>1</v>
          </cell>
          <cell r="H568">
            <v>15000</v>
          </cell>
          <cell r="I568">
            <v>26250</v>
          </cell>
        </row>
        <row r="569">
          <cell r="E569" t="str">
            <v/>
          </cell>
          <cell r="G569" t="str">
            <v/>
          </cell>
          <cell r="H569" t="str">
            <v/>
          </cell>
          <cell r="I569" t="str">
            <v/>
          </cell>
        </row>
        <row r="572">
          <cell r="A572" t="str">
            <v>Sub-Total</v>
          </cell>
          <cell r="J572">
            <v>26250</v>
          </cell>
        </row>
        <row r="573">
          <cell r="A573" t="str">
            <v>IV. MANO DE OBRA</v>
          </cell>
        </row>
        <row r="574">
          <cell r="A574" t="str">
            <v>Trabajador</v>
          </cell>
          <cell r="E574" t="str">
            <v>Jornal</v>
          </cell>
          <cell r="F574" t="str">
            <v>Prestaciones</v>
          </cell>
          <cell r="G574" t="str">
            <v>Jornal Total</v>
          </cell>
          <cell r="H574" t="str">
            <v>Rendimiento</v>
          </cell>
          <cell r="I574" t="str">
            <v>Valor-Unit.</v>
          </cell>
        </row>
        <row r="575">
          <cell r="A575" t="str">
            <v>OFICIAL B</v>
          </cell>
          <cell r="D575">
            <v>1</v>
          </cell>
          <cell r="E575">
            <v>142350</v>
          </cell>
          <cell r="F575">
            <v>1.5821008628015805</v>
          </cell>
          <cell r="G575">
            <v>225212.05781980499</v>
          </cell>
          <cell r="H575">
            <v>1</v>
          </cell>
          <cell r="I575">
            <v>225212.05781980499</v>
          </cell>
        </row>
        <row r="576">
          <cell r="A576" t="str">
            <v>AYUDANTE ENTENDIDO</v>
          </cell>
          <cell r="D576">
            <v>2</v>
          </cell>
          <cell r="E576">
            <v>77842</v>
          </cell>
          <cell r="F576">
            <v>1.6752877632282406</v>
          </cell>
          <cell r="G576">
            <v>260815.50013042541</v>
          </cell>
          <cell r="H576">
            <v>1</v>
          </cell>
          <cell r="I576">
            <v>260815.50013042541</v>
          </cell>
        </row>
        <row r="577">
          <cell r="A577" t="str">
            <v xml:space="preserve"> AYUDANTE RASO</v>
          </cell>
          <cell r="D577">
            <v>2</v>
          </cell>
          <cell r="E577">
            <v>54117</v>
          </cell>
          <cell r="F577">
            <v>1.7246636834087141</v>
          </cell>
          <cell r="G577">
            <v>186667.24911005876</v>
          </cell>
          <cell r="H577">
            <v>1</v>
          </cell>
          <cell r="I577">
            <v>186667.24911005876</v>
          </cell>
        </row>
        <row r="579">
          <cell r="A579" t="str">
            <v>Sub-Total</v>
          </cell>
          <cell r="J579">
            <v>672694.8070602892</v>
          </cell>
        </row>
        <row r="580">
          <cell r="A580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582">
          <cell r="A582" t="str">
            <v xml:space="preserve">ITEM:  </v>
          </cell>
          <cell r="B582" t="str">
            <v>DESCRIPCION</v>
          </cell>
          <cell r="I582" t="str">
            <v>UNIDAD:</v>
          </cell>
          <cell r="J582" t="str">
            <v>COSTO DIRECTO</v>
          </cell>
        </row>
        <row r="583">
          <cell r="A583">
            <v>5.09</v>
          </cell>
          <cell r="B583" t="str">
            <v xml:space="preserve">Suministro e instalacion de valla informativa </v>
          </cell>
          <cell r="I583" t="str">
            <v>UN</v>
          </cell>
          <cell r="J583">
            <v>1327001</v>
          </cell>
        </row>
        <row r="584">
          <cell r="A584" t="str">
            <v>I. EQUIPO</v>
          </cell>
        </row>
        <row r="585">
          <cell r="A585" t="str">
            <v>Descripción</v>
          </cell>
          <cell r="F585" t="str">
            <v>Tipo</v>
          </cell>
          <cell r="G585" t="str">
            <v>Tarifa/dia</v>
          </cell>
          <cell r="H585" t="str">
            <v>Rendimiento</v>
          </cell>
          <cell r="I585" t="str">
            <v>Valor-Unit.</v>
          </cell>
        </row>
        <row r="586">
          <cell r="A586" t="str">
            <v>Herramienta menor (% Mano de obra)</v>
          </cell>
          <cell r="G586">
            <v>0.05</v>
          </cell>
          <cell r="I586">
            <v>22447.671622002355</v>
          </cell>
        </row>
        <row r="587">
          <cell r="H587" t="str">
            <v/>
          </cell>
        </row>
        <row r="589">
          <cell r="A589" t="str">
            <v>Sub-Total</v>
          </cell>
          <cell r="J589">
            <v>22447.671622002355</v>
          </cell>
        </row>
        <row r="590">
          <cell r="A590" t="str">
            <v>II. MATERIALES EN OBRA</v>
          </cell>
        </row>
        <row r="591">
          <cell r="A591" t="str">
            <v>Descripción</v>
          </cell>
          <cell r="E591" t="str">
            <v>Unidad</v>
          </cell>
          <cell r="F591" t="str">
            <v>Precio-Unit.</v>
          </cell>
          <cell r="G591" t="str">
            <v>Cantidad</v>
          </cell>
          <cell r="H591" t="str">
            <v>Desperdicio</v>
          </cell>
          <cell r="I591" t="str">
            <v>Valor-Unit.</v>
          </cell>
        </row>
        <row r="592">
          <cell r="A592" t="str">
            <v>Valla Informativa</v>
          </cell>
          <cell r="E592" t="str">
            <v>Unidad</v>
          </cell>
          <cell r="F592">
            <v>855600</v>
          </cell>
          <cell r="G592">
            <v>1</v>
          </cell>
          <cell r="I592">
            <v>855600</v>
          </cell>
        </row>
        <row r="593">
          <cell r="E593" t="str">
            <v/>
          </cell>
          <cell r="F593" t="str">
            <v/>
          </cell>
          <cell r="I593" t="str">
            <v/>
          </cell>
        </row>
        <row r="594">
          <cell r="E594" t="str">
            <v/>
          </cell>
          <cell r="F594" t="str">
            <v/>
          </cell>
          <cell r="I594" t="str">
            <v/>
          </cell>
        </row>
        <row r="595">
          <cell r="E595" t="str">
            <v/>
          </cell>
          <cell r="F595" t="str">
            <v/>
          </cell>
          <cell r="I595" t="str">
            <v/>
          </cell>
        </row>
        <row r="596">
          <cell r="E596" t="str">
            <v/>
          </cell>
          <cell r="F596" t="str">
            <v/>
          </cell>
          <cell r="I596" t="str">
            <v/>
          </cell>
        </row>
        <row r="597">
          <cell r="E597" t="str">
            <v/>
          </cell>
          <cell r="F597" t="str">
            <v/>
          </cell>
          <cell r="I597" t="str">
            <v/>
          </cell>
        </row>
        <row r="598">
          <cell r="E598" t="str">
            <v/>
          </cell>
          <cell r="F598" t="str">
            <v/>
          </cell>
          <cell r="I598" t="str">
            <v/>
          </cell>
        </row>
        <row r="599">
          <cell r="I599">
            <v>0</v>
          </cell>
        </row>
        <row r="600">
          <cell r="E600" t="str">
            <v/>
          </cell>
          <cell r="F600" t="str">
            <v/>
          </cell>
          <cell r="I600" t="str">
            <v/>
          </cell>
        </row>
        <row r="601">
          <cell r="E601" t="str">
            <v/>
          </cell>
          <cell r="F601" t="str">
            <v/>
          </cell>
          <cell r="I601" t="str">
            <v/>
          </cell>
        </row>
        <row r="602">
          <cell r="E602" t="str">
            <v/>
          </cell>
          <cell r="F602" t="str">
            <v/>
          </cell>
          <cell r="I602" t="str">
            <v/>
          </cell>
        </row>
        <row r="603">
          <cell r="E603" t="str">
            <v/>
          </cell>
          <cell r="F603" t="str">
            <v/>
          </cell>
          <cell r="I603" t="str">
            <v/>
          </cell>
        </row>
        <row r="604">
          <cell r="A604" t="str">
            <v>Sub-Total</v>
          </cell>
          <cell r="J604">
            <v>855600</v>
          </cell>
        </row>
        <row r="605">
          <cell r="A605" t="str">
            <v>III. TRANSPORTES</v>
          </cell>
        </row>
        <row r="606">
          <cell r="A606" t="str">
            <v>Material</v>
          </cell>
          <cell r="E606" t="str">
            <v>TIPO</v>
          </cell>
          <cell r="F606" t="str">
            <v>Vol. Peso ó Cant.</v>
          </cell>
          <cell r="G606" t="str">
            <v>Distancia</v>
          </cell>
          <cell r="H606" t="str">
            <v>Tarifa</v>
          </cell>
          <cell r="I606" t="str">
            <v>Valor-Unit.</v>
          </cell>
        </row>
        <row r="608">
          <cell r="E608" t="str">
            <v/>
          </cell>
          <cell r="G608" t="str">
            <v/>
          </cell>
          <cell r="H608" t="str">
            <v/>
          </cell>
          <cell r="I608" t="str">
            <v/>
          </cell>
        </row>
        <row r="611">
          <cell r="A611" t="str">
            <v>Sub-Total</v>
          </cell>
          <cell r="J611">
            <v>0</v>
          </cell>
        </row>
        <row r="612">
          <cell r="A612" t="str">
            <v>IV. MANO DE OBRA</v>
          </cell>
        </row>
        <row r="613">
          <cell r="A613" t="str">
            <v>Trabajador</v>
          </cell>
          <cell r="E613" t="str">
            <v>Jornal</v>
          </cell>
          <cell r="F613" t="str">
            <v>Prestaciones</v>
          </cell>
          <cell r="G613" t="str">
            <v>Jornal Total</v>
          </cell>
          <cell r="H613" t="str">
            <v>Rendimiento</v>
          </cell>
          <cell r="I613" t="str">
            <v>Valor-Unit.</v>
          </cell>
        </row>
        <row r="614">
          <cell r="A614" t="str">
            <v>OFICIAL B</v>
          </cell>
          <cell r="D614">
            <v>1</v>
          </cell>
          <cell r="E614">
            <v>142350</v>
          </cell>
          <cell r="F614">
            <v>1.5821008628015805</v>
          </cell>
          <cell r="G614">
            <v>225212.05781980499</v>
          </cell>
          <cell r="H614">
            <v>1</v>
          </cell>
          <cell r="I614">
            <v>225212.05781980499</v>
          </cell>
        </row>
        <row r="615">
          <cell r="A615" t="str">
            <v>AYUDANTE ENTENDIDO</v>
          </cell>
          <cell r="D615">
            <v>1</v>
          </cell>
          <cell r="E615">
            <v>77842</v>
          </cell>
          <cell r="F615">
            <v>1.6752877632282406</v>
          </cell>
          <cell r="G615">
            <v>130407.75006521271</v>
          </cell>
          <cell r="H615">
            <v>1</v>
          </cell>
          <cell r="I615">
            <v>130407.75006521271</v>
          </cell>
        </row>
        <row r="616">
          <cell r="A616" t="str">
            <v xml:space="preserve"> AYUDANTE RASO</v>
          </cell>
          <cell r="D616">
            <v>1</v>
          </cell>
          <cell r="E616">
            <v>54117</v>
          </cell>
          <cell r="F616">
            <v>1.7246636834087141</v>
          </cell>
          <cell r="G616">
            <v>93333.624555029382</v>
          </cell>
          <cell r="H616">
            <v>1</v>
          </cell>
          <cell r="I616">
            <v>93333.624555029382</v>
          </cell>
        </row>
        <row r="618">
          <cell r="A618" t="str">
            <v>Sub-Total</v>
          </cell>
          <cell r="J618">
            <v>448953.43244004709</v>
          </cell>
        </row>
        <row r="619">
          <cell r="A619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621">
          <cell r="A621" t="str">
            <v xml:space="preserve">ITEM:  </v>
          </cell>
          <cell r="B621" t="str">
            <v>DESCRIPCION</v>
          </cell>
          <cell r="I621" t="str">
            <v>UNIDAD:</v>
          </cell>
          <cell r="J621" t="str">
            <v>COSTO DIRECTO</v>
          </cell>
        </row>
        <row r="622">
          <cell r="A622">
            <v>6.01</v>
          </cell>
          <cell r="B622" t="str">
            <v xml:space="preserve">Construcción de cerramiento en alambre de puas </v>
          </cell>
          <cell r="I622" t="str">
            <v>m</v>
          </cell>
          <cell r="J622">
            <v>11139</v>
          </cell>
        </row>
        <row r="623">
          <cell r="A623" t="str">
            <v>I. EQUIPO</v>
          </cell>
        </row>
        <row r="624">
          <cell r="A624" t="str">
            <v>Descripción</v>
          </cell>
          <cell r="F624" t="str">
            <v>Tipo</v>
          </cell>
          <cell r="G624" t="str">
            <v>Tarifa/dia</v>
          </cell>
          <cell r="H624" t="str">
            <v>Rendimiento</v>
          </cell>
          <cell r="I624" t="str">
            <v>Valor-Unit.</v>
          </cell>
        </row>
        <row r="625">
          <cell r="A625" t="str">
            <v>Herramienta menor (% Mano de obra)</v>
          </cell>
          <cell r="G625">
            <v>0.05</v>
          </cell>
          <cell r="I625">
            <v>195.76399593107703</v>
          </cell>
        </row>
        <row r="626">
          <cell r="A626" t="str">
            <v xml:space="preserve">PULIDORA </v>
          </cell>
          <cell r="F626" t="str">
            <v>DIA</v>
          </cell>
          <cell r="G626">
            <v>32500</v>
          </cell>
          <cell r="H626">
            <v>0.01</v>
          </cell>
          <cell r="I626">
            <v>325</v>
          </cell>
        </row>
        <row r="627">
          <cell r="F627" t="str">
            <v/>
          </cell>
          <cell r="G627" t="str">
            <v/>
          </cell>
          <cell r="H627" t="str">
            <v/>
          </cell>
          <cell r="I627" t="str">
            <v/>
          </cell>
        </row>
        <row r="628">
          <cell r="F628" t="str">
            <v/>
          </cell>
          <cell r="G628" t="str">
            <v/>
          </cell>
          <cell r="H628" t="str">
            <v/>
          </cell>
          <cell r="I628" t="str">
            <v/>
          </cell>
        </row>
        <row r="629">
          <cell r="F629" t="str">
            <v/>
          </cell>
          <cell r="G629" t="str">
            <v/>
          </cell>
          <cell r="H629" t="str">
            <v/>
          </cell>
          <cell r="I629" t="str">
            <v/>
          </cell>
        </row>
        <row r="630">
          <cell r="A630" t="str">
            <v>Sub-Total</v>
          </cell>
          <cell r="J630">
            <v>520.76399593107703</v>
          </cell>
        </row>
        <row r="631">
          <cell r="A631" t="str">
            <v>II. MATERIALES EN OBRA</v>
          </cell>
        </row>
        <row r="632">
          <cell r="A632" t="str">
            <v>Descripción</v>
          </cell>
          <cell r="E632" t="str">
            <v>Unidad</v>
          </cell>
          <cell r="F632" t="str">
            <v>Precio-Unit.</v>
          </cell>
          <cell r="G632" t="str">
            <v>Cantidad</v>
          </cell>
          <cell r="H632" t="str">
            <v>Desperdicio</v>
          </cell>
          <cell r="I632" t="str">
            <v>Valor-Unit.</v>
          </cell>
        </row>
        <row r="633">
          <cell r="A633" t="str">
            <v>Alambre de púa calibre 14.5 x 125m</v>
          </cell>
          <cell r="E633" t="str">
            <v>Rollo</v>
          </cell>
          <cell r="F633">
            <v>119900</v>
          </cell>
          <cell r="G633">
            <v>0.04</v>
          </cell>
          <cell r="H633">
            <v>0.05</v>
          </cell>
          <cell r="I633">
            <v>5035.8</v>
          </cell>
        </row>
        <row r="634">
          <cell r="E634" t="str">
            <v/>
          </cell>
          <cell r="F634" t="str">
            <v/>
          </cell>
          <cell r="I634" t="str">
            <v/>
          </cell>
        </row>
        <row r="635">
          <cell r="E635" t="str">
            <v/>
          </cell>
          <cell r="F635" t="str">
            <v/>
          </cell>
          <cell r="I635" t="str">
            <v/>
          </cell>
        </row>
        <row r="636">
          <cell r="E636" t="str">
            <v/>
          </cell>
          <cell r="F636" t="str">
            <v/>
          </cell>
          <cell r="I636" t="str">
            <v/>
          </cell>
        </row>
        <row r="637">
          <cell r="E637" t="str">
            <v/>
          </cell>
          <cell r="F637" t="str">
            <v/>
          </cell>
          <cell r="I637" t="str">
            <v/>
          </cell>
        </row>
        <row r="638">
          <cell r="E638" t="str">
            <v/>
          </cell>
          <cell r="F638" t="str">
            <v/>
          </cell>
          <cell r="I638" t="str">
            <v/>
          </cell>
        </row>
        <row r="639">
          <cell r="E639" t="str">
            <v/>
          </cell>
          <cell r="F639" t="str">
            <v/>
          </cell>
          <cell r="I639" t="str">
            <v/>
          </cell>
        </row>
        <row r="640">
          <cell r="E640" t="str">
            <v/>
          </cell>
          <cell r="F640" t="str">
            <v/>
          </cell>
          <cell r="I640" t="str">
            <v/>
          </cell>
        </row>
        <row r="641">
          <cell r="E641" t="str">
            <v/>
          </cell>
          <cell r="F641" t="str">
            <v/>
          </cell>
          <cell r="I641" t="str">
            <v/>
          </cell>
        </row>
        <row r="642">
          <cell r="E642" t="str">
            <v/>
          </cell>
          <cell r="F642" t="str">
            <v/>
          </cell>
          <cell r="I642" t="str">
            <v/>
          </cell>
        </row>
        <row r="643">
          <cell r="E643" t="str">
            <v/>
          </cell>
          <cell r="F643" t="str">
            <v/>
          </cell>
          <cell r="I643" t="str">
            <v/>
          </cell>
        </row>
        <row r="644">
          <cell r="E644" t="str">
            <v/>
          </cell>
          <cell r="F644" t="str">
            <v/>
          </cell>
          <cell r="I644" t="str">
            <v/>
          </cell>
        </row>
        <row r="646">
          <cell r="I646">
            <v>0</v>
          </cell>
        </row>
        <row r="647">
          <cell r="A647" t="str">
            <v>Sub-Total</v>
          </cell>
          <cell r="J647">
            <v>5035.8</v>
          </cell>
        </row>
        <row r="648">
          <cell r="A648" t="str">
            <v>III. TRANSPORTES</v>
          </cell>
        </row>
        <row r="649">
          <cell r="A649" t="str">
            <v>Material</v>
          </cell>
          <cell r="E649" t="str">
            <v>TIPO</v>
          </cell>
          <cell r="F649" t="str">
            <v>Vol. Peso ó Cant.</v>
          </cell>
          <cell r="G649" t="str">
            <v>Distancia</v>
          </cell>
          <cell r="H649" t="str">
            <v>Tarifa</v>
          </cell>
          <cell r="I649" t="str">
            <v>Valor-Unit.</v>
          </cell>
        </row>
        <row r="650">
          <cell r="A650" t="str">
            <v>TRANSPORTE DESDE ISTMINA</v>
          </cell>
          <cell r="E650" t="str">
            <v>m3/km</v>
          </cell>
          <cell r="F650">
            <v>0.02</v>
          </cell>
          <cell r="G650">
            <v>9.6</v>
          </cell>
          <cell r="H650">
            <v>8681</v>
          </cell>
          <cell r="I650">
            <v>1666.752</v>
          </cell>
        </row>
        <row r="651">
          <cell r="E651" t="str">
            <v/>
          </cell>
          <cell r="G651" t="str">
            <v/>
          </cell>
          <cell r="H651" t="str">
            <v/>
          </cell>
          <cell r="I651" t="str">
            <v/>
          </cell>
        </row>
        <row r="654">
          <cell r="A654" t="str">
            <v>Sub-Total</v>
          </cell>
          <cell r="J654">
            <v>1666.752</v>
          </cell>
        </row>
        <row r="655">
          <cell r="A655" t="str">
            <v>IV. MANO DE OBRA</v>
          </cell>
        </row>
        <row r="656">
          <cell r="A656" t="str">
            <v>Trabajador</v>
          </cell>
          <cell r="E656" t="str">
            <v>Jornal</v>
          </cell>
          <cell r="F656" t="str">
            <v>Prestaciones</v>
          </cell>
          <cell r="G656" t="str">
            <v>Jornal Total</v>
          </cell>
          <cell r="H656" t="str">
            <v>Rendimiento</v>
          </cell>
          <cell r="I656" t="str">
            <v>Valor-Unit.</v>
          </cell>
        </row>
        <row r="657">
          <cell r="A657" t="str">
            <v>OFICIAL A</v>
          </cell>
          <cell r="D657">
            <v>1</v>
          </cell>
          <cell r="E657">
            <v>101567</v>
          </cell>
          <cell r="F657">
            <v>1.6519796512835072</v>
          </cell>
          <cell r="G657">
            <v>167786.61724191197</v>
          </cell>
          <cell r="H657">
            <v>100</v>
          </cell>
          <cell r="I657">
            <v>1677.8661724191197</v>
          </cell>
        </row>
        <row r="658">
          <cell r="A658" t="str">
            <v>AYUDANTE ENTENDIDO</v>
          </cell>
          <cell r="D658">
            <v>1</v>
          </cell>
          <cell r="E658">
            <v>77842</v>
          </cell>
          <cell r="F658">
            <v>1.6752877632282406</v>
          </cell>
          <cell r="G658">
            <v>130407.75006521271</v>
          </cell>
          <cell r="H658">
            <v>100</v>
          </cell>
          <cell r="I658">
            <v>1304.0775006521271</v>
          </cell>
        </row>
        <row r="659">
          <cell r="A659" t="str">
            <v xml:space="preserve"> AYUDANTE RASO</v>
          </cell>
          <cell r="D659">
            <v>1</v>
          </cell>
          <cell r="E659">
            <v>54117</v>
          </cell>
          <cell r="F659">
            <v>1.7246636834087141</v>
          </cell>
          <cell r="G659">
            <v>93333.624555029382</v>
          </cell>
          <cell r="H659">
            <v>100</v>
          </cell>
          <cell r="I659">
            <v>933.33624555029382</v>
          </cell>
        </row>
        <row r="661">
          <cell r="A661" t="str">
            <v>Sub-Total</v>
          </cell>
          <cell r="J661">
            <v>3915.2799186215407</v>
          </cell>
        </row>
        <row r="662">
          <cell r="A662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664">
          <cell r="A664" t="str">
            <v xml:space="preserve">ITEM:  </v>
          </cell>
          <cell r="B664" t="str">
            <v>DESCRIPCION</v>
          </cell>
          <cell r="I664" t="str">
            <v>UNIDAD:</v>
          </cell>
          <cell r="J664" t="str">
            <v>COSTO DIRECTO</v>
          </cell>
        </row>
        <row r="665">
          <cell r="A665">
            <v>7.01</v>
          </cell>
          <cell r="B665" t="e">
            <v>#N/A</v>
          </cell>
          <cell r="I665" t="e">
            <v>#N/A</v>
          </cell>
          <cell r="J665">
            <v>22446</v>
          </cell>
        </row>
        <row r="666">
          <cell r="A666" t="str">
            <v>I. EQUIPO</v>
          </cell>
        </row>
        <row r="667">
          <cell r="A667" t="str">
            <v>Descripción</v>
          </cell>
          <cell r="F667" t="str">
            <v>Tipo</v>
          </cell>
          <cell r="G667" t="str">
            <v>Tarifa/dia</v>
          </cell>
          <cell r="H667" t="str">
            <v>Rendimiento</v>
          </cell>
          <cell r="I667" t="str">
            <v>Valor-Unit.</v>
          </cell>
        </row>
        <row r="668">
          <cell r="A668" t="str">
            <v>Herramienta menor (% Mano de obra)</v>
          </cell>
          <cell r="G668">
            <v>0.05</v>
          </cell>
          <cell r="I668">
            <v>446.46053892951818</v>
          </cell>
        </row>
        <row r="669">
          <cell r="A669" t="str">
            <v>CANGURO</v>
          </cell>
          <cell r="F669" t="str">
            <v>DIA</v>
          </cell>
          <cell r="G669">
            <v>120000</v>
          </cell>
          <cell r="H669">
            <v>2.0833333333333332E-2</v>
          </cell>
          <cell r="I669">
            <v>2500</v>
          </cell>
        </row>
        <row r="670">
          <cell r="F670" t="str">
            <v/>
          </cell>
          <cell r="G670" t="str">
            <v/>
          </cell>
          <cell r="H670" t="str">
            <v/>
          </cell>
          <cell r="I670" t="str">
            <v/>
          </cell>
        </row>
        <row r="671">
          <cell r="F671" t="str">
            <v/>
          </cell>
          <cell r="G671" t="str">
            <v/>
          </cell>
          <cell r="H671" t="str">
            <v/>
          </cell>
          <cell r="I671" t="str">
            <v/>
          </cell>
        </row>
        <row r="672">
          <cell r="F672" t="str">
            <v/>
          </cell>
          <cell r="G672" t="str">
            <v/>
          </cell>
          <cell r="H672" t="str">
            <v/>
          </cell>
          <cell r="I672" t="str">
            <v/>
          </cell>
        </row>
        <row r="673">
          <cell r="A673" t="str">
            <v>Sub-Total</v>
          </cell>
          <cell r="J673">
            <v>2946.4605389295184</v>
          </cell>
        </row>
        <row r="674">
          <cell r="A674" t="str">
            <v>II. MATERIALES EN OBRA</v>
          </cell>
        </row>
        <row r="675">
          <cell r="A675" t="str">
            <v>Descripción</v>
          </cell>
          <cell r="E675" t="str">
            <v>Unidad</v>
          </cell>
          <cell r="F675" t="str">
            <v>Precio-Unit.</v>
          </cell>
          <cell r="G675" t="str">
            <v>Cantidad</v>
          </cell>
          <cell r="H675" t="str">
            <v>Desperdicio</v>
          </cell>
          <cell r="I675" t="str">
            <v>Valor-Unit.</v>
          </cell>
        </row>
        <row r="676">
          <cell r="E676" t="str">
            <v/>
          </cell>
          <cell r="F676" t="str">
            <v/>
          </cell>
          <cell r="I676" t="str">
            <v/>
          </cell>
        </row>
        <row r="677">
          <cell r="E677" t="str">
            <v/>
          </cell>
          <cell r="F677" t="str">
            <v/>
          </cell>
          <cell r="I677" t="str">
            <v/>
          </cell>
        </row>
        <row r="678">
          <cell r="E678" t="str">
            <v/>
          </cell>
          <cell r="F678" t="str">
            <v/>
          </cell>
          <cell r="I678" t="str">
            <v/>
          </cell>
        </row>
        <row r="679">
          <cell r="E679" t="str">
            <v/>
          </cell>
          <cell r="F679" t="str">
            <v/>
          </cell>
          <cell r="I679" t="str">
            <v/>
          </cell>
        </row>
        <row r="680">
          <cell r="E680" t="str">
            <v/>
          </cell>
          <cell r="F680" t="str">
            <v/>
          </cell>
          <cell r="I680" t="str">
            <v/>
          </cell>
        </row>
        <row r="681">
          <cell r="E681" t="str">
            <v/>
          </cell>
          <cell r="F681" t="str">
            <v/>
          </cell>
          <cell r="I681" t="str">
            <v/>
          </cell>
        </row>
        <row r="682">
          <cell r="E682" t="str">
            <v/>
          </cell>
          <cell r="F682" t="str">
            <v/>
          </cell>
          <cell r="I682" t="str">
            <v/>
          </cell>
        </row>
        <row r="683">
          <cell r="E683" t="str">
            <v/>
          </cell>
          <cell r="F683" t="str">
            <v/>
          </cell>
          <cell r="I683" t="str">
            <v/>
          </cell>
        </row>
        <row r="685">
          <cell r="I685">
            <v>0</v>
          </cell>
        </row>
        <row r="686">
          <cell r="A686" t="str">
            <v>Sub-Total</v>
          </cell>
          <cell r="J686">
            <v>0</v>
          </cell>
        </row>
        <row r="687">
          <cell r="A687" t="str">
            <v>III. TRANSPORTES</v>
          </cell>
        </row>
        <row r="688">
          <cell r="A688" t="str">
            <v>Material</v>
          </cell>
          <cell r="E688" t="str">
            <v>TIPO</v>
          </cell>
          <cell r="F688" t="str">
            <v>Vol. Peso ó Cant.</v>
          </cell>
          <cell r="G688" t="str">
            <v>Distancia</v>
          </cell>
          <cell r="H688" t="str">
            <v>Tarifa</v>
          </cell>
          <cell r="I688" t="str">
            <v>Valor-Unit.</v>
          </cell>
        </row>
        <row r="689">
          <cell r="A689" t="str">
            <v>TRANSPORTE DISPOSICION DE MATERIAL SOBRANTE</v>
          </cell>
          <cell r="E689" t="str">
            <v>M3</v>
          </cell>
          <cell r="F689">
            <v>1.3</v>
          </cell>
          <cell r="G689">
            <v>5</v>
          </cell>
          <cell r="H689">
            <v>3000</v>
          </cell>
          <cell r="I689">
            <v>19500</v>
          </cell>
        </row>
        <row r="690">
          <cell r="E690" t="str">
            <v/>
          </cell>
          <cell r="G690" t="str">
            <v/>
          </cell>
          <cell r="H690" t="str">
            <v/>
          </cell>
          <cell r="I690" t="str">
            <v/>
          </cell>
        </row>
        <row r="693">
          <cell r="A693" t="str">
            <v>Sub-Total</v>
          </cell>
          <cell r="J693">
            <v>19500</v>
          </cell>
        </row>
        <row r="694">
          <cell r="A694" t="str">
            <v>IV. MANO DE OBRA</v>
          </cell>
        </row>
        <row r="695">
          <cell r="A695" t="str">
            <v>Trabajador</v>
          </cell>
          <cell r="E695" t="str">
            <v>Jornal</v>
          </cell>
          <cell r="F695" t="str">
            <v>Prestaciones</v>
          </cell>
          <cell r="G695" t="str">
            <v>Jornal Total</v>
          </cell>
          <cell r="H695" t="str">
            <v>Rendimiento</v>
          </cell>
          <cell r="I695" t="str">
            <v>Valor-Unit.</v>
          </cell>
        </row>
        <row r="696">
          <cell r="A696" t="str">
            <v>OFICIAL A</v>
          </cell>
          <cell r="D696">
            <v>1</v>
          </cell>
          <cell r="E696">
            <v>101567</v>
          </cell>
          <cell r="F696">
            <v>1.6519796512835072</v>
          </cell>
          <cell r="G696">
            <v>167786.61724191197</v>
          </cell>
          <cell r="H696">
            <v>48</v>
          </cell>
          <cell r="I696">
            <v>3495.5545258731659</v>
          </cell>
        </row>
        <row r="697">
          <cell r="A697" t="str">
            <v>AYUDANTE ENTENDIDO</v>
          </cell>
          <cell r="D697">
            <v>2</v>
          </cell>
          <cell r="E697">
            <v>77842</v>
          </cell>
          <cell r="F697">
            <v>1.6752877632282406</v>
          </cell>
          <cell r="G697">
            <v>260815.50013042541</v>
          </cell>
          <cell r="H697">
            <v>48</v>
          </cell>
          <cell r="I697">
            <v>5433.6562527171964</v>
          </cell>
        </row>
        <row r="698">
          <cell r="E698" t="str">
            <v/>
          </cell>
          <cell r="F698" t="str">
            <v/>
          </cell>
          <cell r="G698" t="str">
            <v/>
          </cell>
          <cell r="H698" t="str">
            <v/>
          </cell>
          <cell r="I698" t="str">
            <v/>
          </cell>
        </row>
        <row r="700">
          <cell r="A700" t="str">
            <v>Sub-Total</v>
          </cell>
          <cell r="J700">
            <v>8929.2107785903627</v>
          </cell>
        </row>
        <row r="701">
          <cell r="A701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703">
          <cell r="A703" t="str">
            <v xml:space="preserve">ITEM:  </v>
          </cell>
          <cell r="B703" t="str">
            <v>DESCRIPCION</v>
          </cell>
          <cell r="I703" t="str">
            <v>UNIDAD:</v>
          </cell>
          <cell r="J703" t="str">
            <v>COSTO DIRECTO</v>
          </cell>
        </row>
        <row r="704">
          <cell r="A704">
            <v>7.02</v>
          </cell>
          <cell r="B704" t="e">
            <v>#N/A</v>
          </cell>
          <cell r="I704" t="e">
            <v>#N/A</v>
          </cell>
          <cell r="J704">
            <v>9087</v>
          </cell>
        </row>
        <row r="705">
          <cell r="A705" t="str">
            <v>I. EQUIPO</v>
          </cell>
        </row>
        <row r="706">
          <cell r="A706" t="str">
            <v>Descripción</v>
          </cell>
          <cell r="F706" t="str">
            <v>Tipo</v>
          </cell>
          <cell r="G706" t="str">
            <v>Tarifa/dia</v>
          </cell>
          <cell r="H706" t="str">
            <v>Rendimiento</v>
          </cell>
          <cell r="I706" t="str">
            <v>Valor-Unit.</v>
          </cell>
        </row>
        <row r="707">
          <cell r="A707" t="str">
            <v>Herramienta menor (% Mano de obra)</v>
          </cell>
          <cell r="G707">
            <v>0.05</v>
          </cell>
          <cell r="I707">
            <v>212.99597664794621</v>
          </cell>
        </row>
        <row r="708">
          <cell r="F708" t="str">
            <v/>
          </cell>
          <cell r="G708" t="str">
            <v/>
          </cell>
          <cell r="H708" t="str">
            <v/>
          </cell>
          <cell r="I708" t="str">
            <v/>
          </cell>
        </row>
        <row r="709">
          <cell r="F709" t="str">
            <v/>
          </cell>
          <cell r="G709" t="str">
            <v/>
          </cell>
          <cell r="H709" t="str">
            <v/>
          </cell>
          <cell r="I709" t="str">
            <v/>
          </cell>
        </row>
        <row r="710">
          <cell r="H710" t="str">
            <v/>
          </cell>
        </row>
        <row r="712">
          <cell r="A712" t="str">
            <v>Sub-Total</v>
          </cell>
          <cell r="J712">
            <v>212.99597664794621</v>
          </cell>
        </row>
        <row r="713">
          <cell r="A713" t="str">
            <v>II. MATERIALES EN OBRA</v>
          </cell>
        </row>
        <row r="714">
          <cell r="A714" t="str">
            <v>Descripción</v>
          </cell>
          <cell r="E714" t="str">
            <v>Unidad</v>
          </cell>
          <cell r="F714" t="str">
            <v>Precio-Unit.</v>
          </cell>
          <cell r="G714" t="str">
            <v>Cantidad</v>
          </cell>
          <cell r="H714" t="str">
            <v>Desperdicio</v>
          </cell>
          <cell r="I714" t="str">
            <v>Valor-Unit.</v>
          </cell>
        </row>
        <row r="715">
          <cell r="A715" t="str">
            <v>Geotextil NT 1600s</v>
          </cell>
          <cell r="E715" t="str">
            <v>m2</v>
          </cell>
          <cell r="F715">
            <v>3686</v>
          </cell>
          <cell r="G715">
            <v>1</v>
          </cell>
          <cell r="H715">
            <v>0.05</v>
          </cell>
          <cell r="I715">
            <v>3870</v>
          </cell>
        </row>
        <row r="716">
          <cell r="E716" t="str">
            <v/>
          </cell>
          <cell r="F716" t="str">
            <v/>
          </cell>
          <cell r="I716" t="str">
            <v/>
          </cell>
        </row>
        <row r="717">
          <cell r="E717" t="str">
            <v/>
          </cell>
          <cell r="F717" t="str">
            <v/>
          </cell>
          <cell r="I717" t="str">
            <v/>
          </cell>
        </row>
        <row r="718">
          <cell r="E718" t="str">
            <v/>
          </cell>
          <cell r="F718" t="str">
            <v/>
          </cell>
          <cell r="I718" t="str">
            <v/>
          </cell>
        </row>
        <row r="719">
          <cell r="E719" t="str">
            <v/>
          </cell>
          <cell r="F719" t="str">
            <v/>
          </cell>
          <cell r="I719" t="str">
            <v/>
          </cell>
        </row>
        <row r="720">
          <cell r="A720" t="str">
            <v>Sub-Total</v>
          </cell>
          <cell r="J720">
            <v>3870</v>
          </cell>
        </row>
        <row r="721">
          <cell r="A721" t="str">
            <v>III. TRANSPORTES</v>
          </cell>
        </row>
        <row r="722">
          <cell r="A722" t="str">
            <v>Material</v>
          </cell>
          <cell r="E722" t="str">
            <v>TIPO</v>
          </cell>
          <cell r="F722" t="str">
            <v>Vol. Peso ó Cant.</v>
          </cell>
          <cell r="G722" t="str">
            <v>Distancia</v>
          </cell>
          <cell r="H722" t="str">
            <v>Tarifa</v>
          </cell>
          <cell r="I722" t="str">
            <v>Valor-Unit.</v>
          </cell>
        </row>
        <row r="723">
          <cell r="A723" t="str">
            <v>TRANSPORTE DESDE MEDELLIN</v>
          </cell>
          <cell r="E723" t="str">
            <v>m3/km</v>
          </cell>
          <cell r="F723">
            <v>1E-3</v>
          </cell>
          <cell r="G723">
            <v>413.59999999999997</v>
          </cell>
          <cell r="H723">
            <v>1799</v>
          </cell>
          <cell r="I723">
            <v>744.06639999999993</v>
          </cell>
        </row>
        <row r="724">
          <cell r="E724" t="str">
            <v/>
          </cell>
          <cell r="G724" t="str">
            <v/>
          </cell>
          <cell r="H724" t="str">
            <v/>
          </cell>
          <cell r="I724" t="str">
            <v/>
          </cell>
        </row>
        <row r="727">
          <cell r="A727" t="str">
            <v>Sub-Total</v>
          </cell>
          <cell r="J727">
            <v>744.06639999999993</v>
          </cell>
        </row>
        <row r="728">
          <cell r="A728" t="str">
            <v>IV. MANO DE OBRA</v>
          </cell>
        </row>
        <row r="729">
          <cell r="A729" t="str">
            <v>Trabajador</v>
          </cell>
          <cell r="E729" t="str">
            <v>Jornal</v>
          </cell>
          <cell r="F729" t="str">
            <v>Prestaciones</v>
          </cell>
          <cell r="G729" t="str">
            <v>Jornal Total</v>
          </cell>
          <cell r="H729" t="str">
            <v>Rendimiento</v>
          </cell>
          <cell r="I729" t="str">
            <v>Valor-Unit.</v>
          </cell>
        </row>
        <row r="730">
          <cell r="A730" t="str">
            <v>OFICIAL A</v>
          </cell>
          <cell r="D730">
            <v>1</v>
          </cell>
          <cell r="E730">
            <v>101567</v>
          </cell>
          <cell r="F730">
            <v>1.6519796512835072</v>
          </cell>
          <cell r="G730">
            <v>167786.61724191197</v>
          </cell>
          <cell r="H730">
            <v>70</v>
          </cell>
          <cell r="I730">
            <v>2396.9516748844567</v>
          </cell>
        </row>
        <row r="731">
          <cell r="A731" t="str">
            <v>AYUDANTE ENTENDIDO</v>
          </cell>
          <cell r="D731">
            <v>1</v>
          </cell>
          <cell r="E731">
            <v>77842</v>
          </cell>
          <cell r="F731">
            <v>1.6752877632282406</v>
          </cell>
          <cell r="G731">
            <v>130407.75006521271</v>
          </cell>
          <cell r="H731">
            <v>70</v>
          </cell>
          <cell r="I731">
            <v>1862.9678580744671</v>
          </cell>
        </row>
        <row r="732">
          <cell r="E732" t="str">
            <v/>
          </cell>
          <cell r="F732" t="str">
            <v/>
          </cell>
          <cell r="G732" t="str">
            <v/>
          </cell>
          <cell r="I732" t="str">
            <v/>
          </cell>
        </row>
        <row r="734">
          <cell r="A734" t="str">
            <v>Sub-Total</v>
          </cell>
          <cell r="J734">
            <v>4259.9195329589238</v>
          </cell>
        </row>
        <row r="735">
          <cell r="A735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737">
          <cell r="A737" t="str">
            <v xml:space="preserve">ITEM:  </v>
          </cell>
          <cell r="B737" t="str">
            <v>DESCRIPCION</v>
          </cell>
          <cell r="I737" t="str">
            <v>UNIDAD:</v>
          </cell>
          <cell r="J737" t="str">
            <v>COSTO DIRECTO</v>
          </cell>
        </row>
        <row r="738">
          <cell r="A738">
            <v>7.03</v>
          </cell>
          <cell r="B738" t="e">
            <v>#N/A</v>
          </cell>
          <cell r="I738" t="e">
            <v>#N/A</v>
          </cell>
          <cell r="J738">
            <v>11409</v>
          </cell>
        </row>
        <row r="739">
          <cell r="A739" t="str">
            <v>I. EQUIPO</v>
          </cell>
        </row>
        <row r="740">
          <cell r="A740" t="str">
            <v>Descripción</v>
          </cell>
          <cell r="F740" t="str">
            <v>Tipo</v>
          </cell>
          <cell r="G740" t="str">
            <v>Tarifa/dia</v>
          </cell>
          <cell r="H740" t="str">
            <v>Rendimiento</v>
          </cell>
          <cell r="I740" t="str">
            <v>Valor-Unit.</v>
          </cell>
        </row>
        <row r="741">
          <cell r="A741" t="str">
            <v>Herramienta menor (% Mano de obra)</v>
          </cell>
          <cell r="G741">
            <v>0.05</v>
          </cell>
          <cell r="I741">
            <v>124.24765304463529</v>
          </cell>
        </row>
        <row r="742">
          <cell r="A742" t="str">
            <v>CANGURO</v>
          </cell>
          <cell r="F742" t="str">
            <v>DIA</v>
          </cell>
          <cell r="G742">
            <v>120000</v>
          </cell>
          <cell r="H742">
            <v>8.3333333333333332E-3</v>
          </cell>
          <cell r="I742">
            <v>1000</v>
          </cell>
        </row>
        <row r="743">
          <cell r="F743" t="str">
            <v/>
          </cell>
          <cell r="G743" t="str">
            <v/>
          </cell>
          <cell r="H743" t="str">
            <v/>
          </cell>
          <cell r="I743" t="str">
            <v/>
          </cell>
        </row>
        <row r="744">
          <cell r="H744" t="str">
            <v/>
          </cell>
        </row>
        <row r="746">
          <cell r="A746" t="str">
            <v>Sub-Total</v>
          </cell>
          <cell r="J746">
            <v>1124.2476530446352</v>
          </cell>
        </row>
        <row r="747">
          <cell r="A747" t="str">
            <v>II. MATERIALES EN OBRA</v>
          </cell>
        </row>
        <row r="748">
          <cell r="A748" t="str">
            <v>Descripción</v>
          </cell>
          <cell r="E748" t="str">
            <v>Unidad</v>
          </cell>
          <cell r="F748" t="str">
            <v>Precio-Unit.</v>
          </cell>
          <cell r="G748" t="str">
            <v>Cantidad</v>
          </cell>
          <cell r="H748" t="str">
            <v>Desperdicio</v>
          </cell>
          <cell r="I748" t="str">
            <v>Valor-Unit.</v>
          </cell>
        </row>
        <row r="749">
          <cell r="A749" t="str">
            <v>Material seleccionado</v>
          </cell>
          <cell r="E749" t="str">
            <v>m3</v>
          </cell>
          <cell r="F749">
            <v>60000</v>
          </cell>
          <cell r="G749">
            <v>0.1</v>
          </cell>
          <cell r="H749">
            <v>0.3</v>
          </cell>
          <cell r="I749">
            <v>7800</v>
          </cell>
        </row>
        <row r="750">
          <cell r="E750" t="str">
            <v/>
          </cell>
          <cell r="F750" t="str">
            <v/>
          </cell>
          <cell r="I750" t="str">
            <v/>
          </cell>
        </row>
        <row r="751">
          <cell r="E751" t="str">
            <v/>
          </cell>
          <cell r="F751" t="str">
            <v/>
          </cell>
          <cell r="I751" t="str">
            <v/>
          </cell>
        </row>
        <row r="752">
          <cell r="E752" t="str">
            <v/>
          </cell>
          <cell r="F752" t="str">
            <v/>
          </cell>
          <cell r="I752" t="str">
            <v/>
          </cell>
        </row>
        <row r="753">
          <cell r="E753" t="str">
            <v/>
          </cell>
          <cell r="F753" t="str">
            <v/>
          </cell>
          <cell r="I753" t="str">
            <v/>
          </cell>
        </row>
        <row r="754">
          <cell r="A754" t="str">
            <v>Sub-Total</v>
          </cell>
          <cell r="J754">
            <v>7800</v>
          </cell>
        </row>
        <row r="755">
          <cell r="A755" t="str">
            <v>III. TRANSPORTES</v>
          </cell>
        </row>
        <row r="756">
          <cell r="A756" t="str">
            <v>Material</v>
          </cell>
          <cell r="E756" t="str">
            <v>TIPO</v>
          </cell>
          <cell r="F756" t="str">
            <v>Vol. Peso ó Cant.</v>
          </cell>
          <cell r="G756" t="str">
            <v>Distancia</v>
          </cell>
          <cell r="H756" t="str">
            <v>Tarifa</v>
          </cell>
          <cell r="I756" t="str">
            <v>Valor-Unit.</v>
          </cell>
        </row>
        <row r="757">
          <cell r="E757" t="str">
            <v/>
          </cell>
          <cell r="G757" t="str">
            <v/>
          </cell>
          <cell r="H757" t="str">
            <v/>
          </cell>
          <cell r="I757" t="str">
            <v/>
          </cell>
        </row>
        <row r="758">
          <cell r="E758" t="str">
            <v/>
          </cell>
          <cell r="G758" t="str">
            <v/>
          </cell>
          <cell r="H758" t="str">
            <v/>
          </cell>
          <cell r="I758" t="str">
            <v/>
          </cell>
        </row>
        <row r="761">
          <cell r="A761" t="str">
            <v>Sub-Total</v>
          </cell>
          <cell r="J761">
            <v>0</v>
          </cell>
        </row>
        <row r="762">
          <cell r="A762" t="str">
            <v>IV. MANO DE OBRA</v>
          </cell>
        </row>
        <row r="763">
          <cell r="A763" t="str">
            <v>Trabajador</v>
          </cell>
          <cell r="E763" t="str">
            <v>Jornal</v>
          </cell>
          <cell r="F763" t="str">
            <v>Prestaciones</v>
          </cell>
          <cell r="G763" t="str">
            <v>Jornal Total</v>
          </cell>
          <cell r="H763" t="str">
            <v>Rendimiento</v>
          </cell>
          <cell r="I763" t="str">
            <v>Valor-Unit.</v>
          </cell>
        </row>
        <row r="764">
          <cell r="A764" t="str">
            <v>OFICIAL A</v>
          </cell>
          <cell r="D764">
            <v>1</v>
          </cell>
          <cell r="E764">
            <v>101567</v>
          </cell>
          <cell r="F764">
            <v>1.6519796512835072</v>
          </cell>
          <cell r="G764">
            <v>167786.61724191197</v>
          </cell>
          <cell r="H764">
            <v>120</v>
          </cell>
          <cell r="I764">
            <v>1398.2218103492664</v>
          </cell>
        </row>
        <row r="765">
          <cell r="A765" t="str">
            <v>AYUDANTE ENTENDIDO</v>
          </cell>
          <cell r="D765">
            <v>1</v>
          </cell>
          <cell r="E765">
            <v>77842</v>
          </cell>
          <cell r="F765">
            <v>1.6752877632282406</v>
          </cell>
          <cell r="G765">
            <v>130407.75006521271</v>
          </cell>
          <cell r="H765">
            <v>120</v>
          </cell>
          <cell r="I765">
            <v>1086.7312505434393</v>
          </cell>
        </row>
        <row r="766">
          <cell r="E766" t="str">
            <v/>
          </cell>
          <cell r="F766" t="str">
            <v/>
          </cell>
          <cell r="G766" t="str">
            <v/>
          </cell>
          <cell r="I766" t="str">
            <v/>
          </cell>
        </row>
        <row r="768">
          <cell r="A768" t="str">
            <v>Sub-Total</v>
          </cell>
          <cell r="J768">
            <v>2484.9530608927057</v>
          </cell>
        </row>
        <row r="769">
          <cell r="A769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771">
          <cell r="A771" t="str">
            <v xml:space="preserve">ITEM:  </v>
          </cell>
          <cell r="B771" t="str">
            <v>DESCRIPCION</v>
          </cell>
          <cell r="I771" t="str">
            <v>UNIDAD:</v>
          </cell>
          <cell r="J771" t="str">
            <v>COSTO DIRECTO</v>
          </cell>
        </row>
        <row r="772">
          <cell r="A772">
            <v>7.04</v>
          </cell>
          <cell r="B772" t="e">
            <v>#N/A</v>
          </cell>
          <cell r="I772" t="e">
            <v>#N/A</v>
          </cell>
          <cell r="J772">
            <v>682528</v>
          </cell>
        </row>
        <row r="773">
          <cell r="A773" t="str">
            <v>I. EQUIPO</v>
          </cell>
        </row>
        <row r="774">
          <cell r="A774" t="str">
            <v>Descripción</v>
          </cell>
          <cell r="F774" t="str">
            <v>Tipo</v>
          </cell>
          <cell r="G774" t="str">
            <v>Tarifa/dia</v>
          </cell>
          <cell r="H774" t="str">
            <v>Rendimiento</v>
          </cell>
          <cell r="I774" t="str">
            <v>Valor-Unit.</v>
          </cell>
        </row>
        <row r="775">
          <cell r="A775" t="str">
            <v>Herramienta menor (% Mano de obra)</v>
          </cell>
          <cell r="G775">
            <v>0.05</v>
          </cell>
          <cell r="I775">
            <v>4860.275579502304</v>
          </cell>
        </row>
        <row r="776">
          <cell r="A776" t="str">
            <v>ANDAMIO 2 CUERPOS</v>
          </cell>
          <cell r="F776" t="str">
            <v>DIA</v>
          </cell>
          <cell r="G776">
            <v>3500</v>
          </cell>
          <cell r="H776">
            <v>0.2</v>
          </cell>
          <cell r="I776">
            <v>700</v>
          </cell>
        </row>
        <row r="777">
          <cell r="F777" t="str">
            <v/>
          </cell>
          <cell r="G777" t="str">
            <v/>
          </cell>
          <cell r="H777" t="str">
            <v/>
          </cell>
          <cell r="I777" t="str">
            <v/>
          </cell>
        </row>
        <row r="778">
          <cell r="H778" t="str">
            <v/>
          </cell>
        </row>
        <row r="780">
          <cell r="A780" t="str">
            <v>Sub-Total</v>
          </cell>
          <cell r="J780">
            <v>5560.275579502304</v>
          </cell>
        </row>
        <row r="781">
          <cell r="A781" t="str">
            <v>II. MATERIALES EN OBRA</v>
          </cell>
        </row>
        <row r="782">
          <cell r="A782" t="str">
            <v>Descripción</v>
          </cell>
          <cell r="E782" t="str">
            <v>Unidad</v>
          </cell>
          <cell r="F782" t="str">
            <v>Precio-Unit.</v>
          </cell>
          <cell r="G782" t="str">
            <v>Cantidad</v>
          </cell>
          <cell r="H782" t="str">
            <v>Desperdicio</v>
          </cell>
          <cell r="I782" t="str">
            <v>Valor-Unit.</v>
          </cell>
        </row>
        <row r="783">
          <cell r="A783" t="str">
            <v>chimenea de de venteo de Biogas</v>
          </cell>
          <cell r="E783" t="str">
            <v>UN</v>
          </cell>
          <cell r="F783">
            <v>550000</v>
          </cell>
          <cell r="G783">
            <v>1</v>
          </cell>
          <cell r="I783">
            <v>550000</v>
          </cell>
        </row>
        <row r="784">
          <cell r="E784" t="str">
            <v/>
          </cell>
          <cell r="F784" t="str">
            <v/>
          </cell>
          <cell r="I784" t="str">
            <v/>
          </cell>
        </row>
        <row r="785">
          <cell r="E785" t="str">
            <v/>
          </cell>
          <cell r="F785" t="str">
            <v/>
          </cell>
          <cell r="I785" t="str">
            <v/>
          </cell>
        </row>
        <row r="786">
          <cell r="E786" t="str">
            <v/>
          </cell>
          <cell r="F786" t="str">
            <v/>
          </cell>
          <cell r="I786" t="str">
            <v/>
          </cell>
        </row>
        <row r="787">
          <cell r="E787" t="str">
            <v/>
          </cell>
          <cell r="F787" t="str">
            <v/>
          </cell>
          <cell r="I787" t="str">
            <v/>
          </cell>
        </row>
        <row r="788">
          <cell r="A788" t="str">
            <v>Sub-Total</v>
          </cell>
          <cell r="J788">
            <v>550000</v>
          </cell>
        </row>
        <row r="789">
          <cell r="A789" t="str">
            <v>III. TRANSPORTES</v>
          </cell>
        </row>
        <row r="790">
          <cell r="A790" t="str">
            <v>Material</v>
          </cell>
          <cell r="E790" t="str">
            <v>TIPO</v>
          </cell>
          <cell r="F790" t="str">
            <v>Vol. Peso ó Cant.</v>
          </cell>
          <cell r="G790" t="str">
            <v>Distancia</v>
          </cell>
          <cell r="H790" t="str">
            <v>Tarifa</v>
          </cell>
          <cell r="I790" t="str">
            <v>Valor-Unit.</v>
          </cell>
        </row>
        <row r="791">
          <cell r="A791" t="str">
            <v>TRANSPORTE DESDE MEDELLIN</v>
          </cell>
          <cell r="E791" t="str">
            <v>m3/km</v>
          </cell>
          <cell r="F791">
            <v>4.0000000000000008E-2</v>
          </cell>
          <cell r="G791">
            <v>413.59999999999997</v>
          </cell>
          <cell r="H791">
            <v>1799</v>
          </cell>
          <cell r="I791">
            <v>29762.656000000003</v>
          </cell>
        </row>
        <row r="792">
          <cell r="E792" t="str">
            <v/>
          </cell>
          <cell r="G792" t="str">
            <v/>
          </cell>
          <cell r="H792" t="str">
            <v/>
          </cell>
          <cell r="I792" t="str">
            <v/>
          </cell>
        </row>
        <row r="795">
          <cell r="A795" t="str">
            <v>Sub-Total</v>
          </cell>
          <cell r="J795">
            <v>29762.656000000003</v>
          </cell>
        </row>
        <row r="796">
          <cell r="A796" t="str">
            <v>IV. MANO DE OBRA</v>
          </cell>
        </row>
        <row r="797">
          <cell r="A797" t="str">
            <v>Trabajador</v>
          </cell>
          <cell r="E797" t="str">
            <v>Jornal</v>
          </cell>
          <cell r="F797" t="str">
            <v>Prestaciones</v>
          </cell>
          <cell r="G797" t="str">
            <v>Jornal Total</v>
          </cell>
          <cell r="H797" t="str">
            <v>Rendimiento</v>
          </cell>
          <cell r="I797" t="str">
            <v>Valor-Unit.</v>
          </cell>
        </row>
        <row r="798">
          <cell r="A798" t="str">
            <v>OFICIAL B</v>
          </cell>
          <cell r="D798">
            <v>1</v>
          </cell>
          <cell r="E798">
            <v>142350</v>
          </cell>
          <cell r="F798">
            <v>1.5821008628015805</v>
          </cell>
          <cell r="G798">
            <v>225212.05781980499</v>
          </cell>
          <cell r="H798">
            <v>5</v>
          </cell>
          <cell r="I798">
            <v>45042.411563960995</v>
          </cell>
        </row>
        <row r="799">
          <cell r="A799" t="str">
            <v>AYUDANTE ENTENDIDO</v>
          </cell>
          <cell r="D799">
            <v>2</v>
          </cell>
          <cell r="E799">
            <v>77842</v>
          </cell>
          <cell r="F799">
            <v>1.6752877632282406</v>
          </cell>
          <cell r="G799">
            <v>260815.50013042541</v>
          </cell>
          <cell r="H799">
            <v>5</v>
          </cell>
          <cell r="I799">
            <v>52163.100026085085</v>
          </cell>
        </row>
        <row r="800">
          <cell r="E800" t="str">
            <v/>
          </cell>
          <cell r="F800" t="str">
            <v/>
          </cell>
          <cell r="G800" t="str">
            <v/>
          </cell>
          <cell r="I800" t="str">
            <v/>
          </cell>
        </row>
        <row r="802">
          <cell r="A802" t="str">
            <v>Sub-Total</v>
          </cell>
          <cell r="J802">
            <v>97205.511590046081</v>
          </cell>
        </row>
        <row r="803">
          <cell r="A803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805">
          <cell r="A805" t="str">
            <v xml:space="preserve">ITEM:  </v>
          </cell>
          <cell r="B805" t="str">
            <v>DESCRIPCION</v>
          </cell>
          <cell r="I805" t="str">
            <v>UNIDAD:</v>
          </cell>
          <cell r="J805" t="str">
            <v>COSTO DIRECTO</v>
          </cell>
        </row>
        <row r="806">
          <cell r="A806">
            <v>7.05</v>
          </cell>
          <cell r="B806" t="e">
            <v>#N/A</v>
          </cell>
          <cell r="I806" t="e">
            <v>#N/A</v>
          </cell>
          <cell r="J806">
            <v>2551645</v>
          </cell>
        </row>
        <row r="807">
          <cell r="A807" t="str">
            <v>I. EQUIPO</v>
          </cell>
        </row>
        <row r="808">
          <cell r="A808" t="str">
            <v>Descripción</v>
          </cell>
          <cell r="F808" t="str">
            <v>Tipo</v>
          </cell>
          <cell r="G808" t="str">
            <v>Tarifa/dia</v>
          </cell>
          <cell r="H808" t="str">
            <v>Rendimiento</v>
          </cell>
          <cell r="I808" t="str">
            <v>Valor-Unit.</v>
          </cell>
        </row>
        <row r="809">
          <cell r="A809" t="str">
            <v>Herramienta menor (% Mano de obra)</v>
          </cell>
          <cell r="G809">
            <v>0.05</v>
          </cell>
          <cell r="I809">
            <v>121506.88948755758</v>
          </cell>
        </row>
        <row r="810">
          <cell r="F810" t="str">
            <v/>
          </cell>
          <cell r="G810" t="str">
            <v/>
          </cell>
          <cell r="H810" t="str">
            <v/>
          </cell>
          <cell r="I810" t="str">
            <v/>
          </cell>
        </row>
        <row r="811">
          <cell r="F811" t="str">
            <v/>
          </cell>
          <cell r="G811" t="str">
            <v/>
          </cell>
          <cell r="H811" t="str">
            <v/>
          </cell>
          <cell r="I811" t="str">
            <v/>
          </cell>
        </row>
        <row r="812">
          <cell r="H812" t="str">
            <v/>
          </cell>
        </row>
        <row r="814">
          <cell r="A814" t="str">
            <v>Sub-Total</v>
          </cell>
          <cell r="J814">
            <v>121506.88948755758</v>
          </cell>
        </row>
        <row r="815">
          <cell r="A815" t="str">
            <v>II. MATERIALES EN OBRA</v>
          </cell>
        </row>
        <row r="816">
          <cell r="A816" t="str">
            <v>Descripción</v>
          </cell>
          <cell r="E816" t="str">
            <v>Unidad</v>
          </cell>
          <cell r="F816" t="str">
            <v>Precio-Unit.</v>
          </cell>
          <cell r="G816" t="str">
            <v>Cantidad</v>
          </cell>
          <cell r="H816" t="str">
            <v>Desperdicio</v>
          </cell>
          <cell r="I816" t="str">
            <v>Valor-Unit.</v>
          </cell>
        </row>
        <row r="817">
          <cell r="E817" t="str">
            <v/>
          </cell>
          <cell r="F817" t="str">
            <v/>
          </cell>
          <cell r="I817" t="str">
            <v/>
          </cell>
        </row>
        <row r="818">
          <cell r="E818" t="str">
            <v/>
          </cell>
          <cell r="F818" t="str">
            <v/>
          </cell>
          <cell r="I818" t="str">
            <v/>
          </cell>
        </row>
        <row r="819">
          <cell r="E819" t="str">
            <v/>
          </cell>
          <cell r="F819" t="str">
            <v/>
          </cell>
          <cell r="I819" t="str">
            <v/>
          </cell>
        </row>
        <row r="820">
          <cell r="E820" t="str">
            <v/>
          </cell>
          <cell r="F820" t="str">
            <v/>
          </cell>
          <cell r="I820" t="str">
            <v/>
          </cell>
        </row>
        <row r="821">
          <cell r="E821" t="str">
            <v/>
          </cell>
          <cell r="F821" t="str">
            <v/>
          </cell>
          <cell r="I821" t="str">
            <v/>
          </cell>
        </row>
        <row r="822">
          <cell r="A822" t="str">
            <v>Sub-Total</v>
          </cell>
          <cell r="J822">
            <v>0</v>
          </cell>
        </row>
        <row r="823">
          <cell r="A823" t="str">
            <v>III. TRANSPORTES</v>
          </cell>
        </row>
        <row r="824">
          <cell r="A824" t="str">
            <v>Material</v>
          </cell>
          <cell r="E824" t="str">
            <v>TIPO</v>
          </cell>
          <cell r="F824" t="str">
            <v>Vol. Peso ó Cant.</v>
          </cell>
          <cell r="G824" t="str">
            <v>Distancia</v>
          </cell>
          <cell r="H824" t="str">
            <v>Tarifa</v>
          </cell>
          <cell r="I824" t="str">
            <v>Valor-Unit.</v>
          </cell>
        </row>
        <row r="825">
          <cell r="E825" t="str">
            <v/>
          </cell>
          <cell r="G825" t="str">
            <v/>
          </cell>
          <cell r="H825" t="str">
            <v/>
          </cell>
          <cell r="I825" t="str">
            <v/>
          </cell>
        </row>
        <row r="826">
          <cell r="E826" t="str">
            <v/>
          </cell>
          <cell r="G826" t="str">
            <v/>
          </cell>
          <cell r="H826" t="str">
            <v/>
          </cell>
          <cell r="I826" t="str">
            <v/>
          </cell>
        </row>
        <row r="829">
          <cell r="A829" t="str">
            <v>Sub-Total</v>
          </cell>
          <cell r="J829">
            <v>0</v>
          </cell>
        </row>
        <row r="830">
          <cell r="A830" t="str">
            <v>IV. MANO DE OBRA</v>
          </cell>
        </row>
        <row r="831">
          <cell r="A831" t="str">
            <v>Trabajador</v>
          </cell>
          <cell r="E831" t="str">
            <v>Jornal</v>
          </cell>
          <cell r="F831" t="str">
            <v>Prestaciones</v>
          </cell>
          <cell r="G831" t="str">
            <v>Jornal Total</v>
          </cell>
          <cell r="H831" t="str">
            <v>Rendimiento</v>
          </cell>
          <cell r="I831" t="str">
            <v>Valor-Unit.</v>
          </cell>
        </row>
        <row r="832">
          <cell r="A832" t="str">
            <v>OFICIAL B</v>
          </cell>
          <cell r="D832">
            <v>1</v>
          </cell>
          <cell r="E832">
            <v>142350</v>
          </cell>
          <cell r="F832">
            <v>1.5821008628015805</v>
          </cell>
          <cell r="G832">
            <v>225212.05781980499</v>
          </cell>
          <cell r="H832">
            <v>0.2</v>
          </cell>
          <cell r="I832">
            <v>1126060.2890990248</v>
          </cell>
        </row>
        <row r="833">
          <cell r="A833" t="str">
            <v>AYUDANTE ENTENDIDO</v>
          </cell>
          <cell r="D833">
            <v>2</v>
          </cell>
          <cell r="E833">
            <v>77842</v>
          </cell>
          <cell r="F833">
            <v>1.6752877632282406</v>
          </cell>
          <cell r="G833">
            <v>260815.50013042541</v>
          </cell>
          <cell r="H833">
            <v>0.2</v>
          </cell>
          <cell r="I833">
            <v>1304077.500652127</v>
          </cell>
        </row>
        <row r="834">
          <cell r="E834" t="str">
            <v/>
          </cell>
          <cell r="F834" t="str">
            <v/>
          </cell>
          <cell r="G834" t="str">
            <v/>
          </cell>
          <cell r="I834" t="str">
            <v/>
          </cell>
        </row>
        <row r="836">
          <cell r="A836" t="str">
            <v>Sub-Total</v>
          </cell>
          <cell r="J836">
            <v>2430137.7897511516</v>
          </cell>
        </row>
        <row r="837">
          <cell r="A837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839">
          <cell r="A839" t="str">
            <v xml:space="preserve">ITEM:  </v>
          </cell>
          <cell r="B839" t="str">
            <v>DESCRIPCION</v>
          </cell>
          <cell r="I839" t="str">
            <v>UNIDAD:</v>
          </cell>
          <cell r="J839" t="str">
            <v>COSTO DIRECTO</v>
          </cell>
        </row>
        <row r="840">
          <cell r="A840">
            <v>7.06</v>
          </cell>
          <cell r="B840" t="e">
            <v>#N/A</v>
          </cell>
          <cell r="I840" t="e">
            <v>#N/A</v>
          </cell>
          <cell r="J840">
            <v>63033</v>
          </cell>
        </row>
        <row r="841">
          <cell r="A841" t="str">
            <v>I. EQUIPO</v>
          </cell>
        </row>
        <row r="842">
          <cell r="A842" t="str">
            <v>Descripción</v>
          </cell>
          <cell r="F842" t="str">
            <v>Tipo</v>
          </cell>
          <cell r="G842" t="str">
            <v>Tarifa/dia</v>
          </cell>
          <cell r="H842" t="str">
            <v>Rendimiento</v>
          </cell>
          <cell r="I842" t="str">
            <v>Valor-Unit.</v>
          </cell>
        </row>
        <row r="843">
          <cell r="A843" t="str">
            <v>Herramienta menor (% Mano de obra)</v>
          </cell>
          <cell r="G843">
            <v>0.05</v>
          </cell>
          <cell r="I843">
            <v>2430.137789751152</v>
          </cell>
        </row>
        <row r="844">
          <cell r="A844" t="str">
            <v>CANGURO</v>
          </cell>
          <cell r="F844" t="str">
            <v>DIA</v>
          </cell>
          <cell r="G844">
            <v>120000</v>
          </cell>
          <cell r="H844">
            <v>0.1</v>
          </cell>
          <cell r="I844">
            <v>12000</v>
          </cell>
        </row>
        <row r="845">
          <cell r="F845" t="str">
            <v/>
          </cell>
          <cell r="G845" t="str">
            <v/>
          </cell>
          <cell r="H845" t="str">
            <v/>
          </cell>
          <cell r="I845" t="str">
            <v/>
          </cell>
        </row>
        <row r="846">
          <cell r="H846" t="str">
            <v/>
          </cell>
        </row>
        <row r="848">
          <cell r="A848" t="str">
            <v>Sub-Total</v>
          </cell>
          <cell r="J848">
            <v>14430.137789751152</v>
          </cell>
        </row>
        <row r="849">
          <cell r="A849" t="str">
            <v>II. MATERIALES EN OBRA</v>
          </cell>
        </row>
        <row r="850">
          <cell r="A850" t="str">
            <v>Descripción</v>
          </cell>
          <cell r="E850" t="str">
            <v>Unidad</v>
          </cell>
          <cell r="F850" t="str">
            <v>Precio-Unit.</v>
          </cell>
          <cell r="G850" t="str">
            <v>Cantidad</v>
          </cell>
          <cell r="H850" t="str">
            <v>Desperdicio</v>
          </cell>
          <cell r="I850" t="str">
            <v>Valor-Unit.</v>
          </cell>
        </row>
        <row r="851">
          <cell r="E851" t="str">
            <v/>
          </cell>
          <cell r="F851" t="str">
            <v/>
          </cell>
          <cell r="I851" t="str">
            <v/>
          </cell>
        </row>
        <row r="852">
          <cell r="E852" t="str">
            <v/>
          </cell>
          <cell r="F852" t="str">
            <v/>
          </cell>
          <cell r="I852" t="str">
            <v/>
          </cell>
        </row>
        <row r="853">
          <cell r="E853" t="str">
            <v/>
          </cell>
          <cell r="F853" t="str">
            <v/>
          </cell>
          <cell r="I853" t="str">
            <v/>
          </cell>
        </row>
        <row r="854">
          <cell r="E854" t="str">
            <v/>
          </cell>
          <cell r="F854" t="str">
            <v/>
          </cell>
          <cell r="I854" t="str">
            <v/>
          </cell>
        </row>
        <row r="855">
          <cell r="E855" t="str">
            <v/>
          </cell>
          <cell r="F855" t="str">
            <v/>
          </cell>
          <cell r="I855" t="str">
            <v/>
          </cell>
        </row>
        <row r="856">
          <cell r="E856" t="str">
            <v/>
          </cell>
          <cell r="F856" t="str">
            <v/>
          </cell>
          <cell r="I856" t="str">
            <v/>
          </cell>
        </row>
        <row r="857">
          <cell r="A857" t="str">
            <v>Sub-Total</v>
          </cell>
          <cell r="J857">
            <v>0</v>
          </cell>
        </row>
        <row r="858">
          <cell r="A858" t="str">
            <v>III. TRANSPORTES</v>
          </cell>
        </row>
        <row r="859">
          <cell r="A859" t="str">
            <v>Material</v>
          </cell>
          <cell r="E859" t="str">
            <v>TIPO</v>
          </cell>
          <cell r="F859" t="str">
            <v>Vol. Peso ó Cant.</v>
          </cell>
          <cell r="G859" t="str">
            <v>Distancia</v>
          </cell>
          <cell r="H859" t="str">
            <v>Tarifa</v>
          </cell>
          <cell r="I859" t="str">
            <v>Valor-Unit.</v>
          </cell>
        </row>
        <row r="860">
          <cell r="E860" t="str">
            <v/>
          </cell>
          <cell r="G860" t="str">
            <v/>
          </cell>
          <cell r="H860" t="str">
            <v/>
          </cell>
          <cell r="I860" t="str">
            <v/>
          </cell>
        </row>
        <row r="861">
          <cell r="E861" t="str">
            <v/>
          </cell>
          <cell r="G861" t="str">
            <v/>
          </cell>
          <cell r="H861" t="str">
            <v/>
          </cell>
          <cell r="I861" t="str">
            <v/>
          </cell>
        </row>
        <row r="864">
          <cell r="A864" t="str">
            <v>Sub-Total</v>
          </cell>
          <cell r="J864">
            <v>0</v>
          </cell>
        </row>
        <row r="865">
          <cell r="A865" t="str">
            <v>IV. MANO DE OBRA</v>
          </cell>
        </row>
        <row r="866">
          <cell r="A866" t="str">
            <v>Trabajador</v>
          </cell>
          <cell r="E866" t="str">
            <v>Jornal</v>
          </cell>
          <cell r="F866" t="str">
            <v>Prestaciones</v>
          </cell>
          <cell r="G866" t="str">
            <v>Jornal Total</v>
          </cell>
          <cell r="H866" t="str">
            <v>Rendimiento</v>
          </cell>
          <cell r="I866" t="str">
            <v>Valor-Unit.</v>
          </cell>
        </row>
        <row r="867">
          <cell r="A867" t="str">
            <v>OFICIAL B</v>
          </cell>
          <cell r="D867">
            <v>1</v>
          </cell>
          <cell r="E867">
            <v>142350</v>
          </cell>
          <cell r="F867">
            <v>1.5821008628015805</v>
          </cell>
          <cell r="G867">
            <v>225212.05781980499</v>
          </cell>
          <cell r="H867">
            <v>10</v>
          </cell>
          <cell r="I867">
            <v>22521.205781980498</v>
          </cell>
        </row>
        <row r="868">
          <cell r="A868" t="str">
            <v>AYUDANTE ENTENDIDO</v>
          </cell>
          <cell r="D868">
            <v>2</v>
          </cell>
          <cell r="E868">
            <v>77842</v>
          </cell>
          <cell r="F868">
            <v>1.6752877632282406</v>
          </cell>
          <cell r="G868">
            <v>260815.50013042541</v>
          </cell>
          <cell r="H868">
            <v>10</v>
          </cell>
          <cell r="I868">
            <v>26081.550013042543</v>
          </cell>
        </row>
        <row r="869">
          <cell r="E869" t="str">
            <v/>
          </cell>
          <cell r="F869" t="str">
            <v/>
          </cell>
          <cell r="G869" t="str">
            <v/>
          </cell>
          <cell r="I869" t="str">
            <v/>
          </cell>
        </row>
        <row r="871">
          <cell r="A871" t="str">
            <v>Sub-Total</v>
          </cell>
          <cell r="J871">
            <v>48602.75579502304</v>
          </cell>
        </row>
        <row r="872">
          <cell r="A872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874">
          <cell r="A874" t="str">
            <v xml:space="preserve">ITEM:  </v>
          </cell>
          <cell r="B874" t="str">
            <v>DESCRIPCION</v>
          </cell>
          <cell r="I874" t="str">
            <v>UNIDAD:</v>
          </cell>
          <cell r="J874" t="str">
            <v>COSTO DIRECTO</v>
          </cell>
        </row>
        <row r="875">
          <cell r="A875">
            <v>7.07</v>
          </cell>
          <cell r="B875" t="e">
            <v>#N/A</v>
          </cell>
          <cell r="I875" t="e">
            <v>#N/A</v>
          </cell>
          <cell r="J875">
            <v>10078</v>
          </cell>
        </row>
        <row r="876">
          <cell r="A876" t="str">
            <v>I. EQUIPO</v>
          </cell>
        </row>
        <row r="877">
          <cell r="A877" t="str">
            <v>Descripción</v>
          </cell>
          <cell r="F877" t="str">
            <v>Tipo</v>
          </cell>
          <cell r="G877" t="str">
            <v>Tarifa/dia</v>
          </cell>
          <cell r="H877" t="str">
            <v>Rendimiento</v>
          </cell>
          <cell r="I877" t="str">
            <v>Valor-Unit.</v>
          </cell>
        </row>
        <row r="878">
          <cell r="A878" t="str">
            <v>Herramienta menor (% Mano de obra)</v>
          </cell>
          <cell r="G878">
            <v>0.05</v>
          </cell>
          <cell r="I878">
            <v>149.09718365356235</v>
          </cell>
        </row>
        <row r="879">
          <cell r="F879" t="str">
            <v/>
          </cell>
          <cell r="G879" t="str">
            <v/>
          </cell>
          <cell r="H879" t="str">
            <v/>
          </cell>
          <cell r="I879" t="str">
            <v/>
          </cell>
        </row>
        <row r="880">
          <cell r="F880" t="str">
            <v/>
          </cell>
          <cell r="G880" t="str">
            <v/>
          </cell>
          <cell r="H880" t="str">
            <v/>
          </cell>
          <cell r="I880" t="str">
            <v/>
          </cell>
        </row>
        <row r="881">
          <cell r="H881" t="str">
            <v/>
          </cell>
        </row>
        <row r="883">
          <cell r="A883" t="str">
            <v>Sub-Total</v>
          </cell>
          <cell r="J883">
            <v>149.09718365356235</v>
          </cell>
        </row>
        <row r="884">
          <cell r="A884" t="str">
            <v>II. MATERIALES EN OBRA</v>
          </cell>
        </row>
        <row r="885">
          <cell r="A885" t="str">
            <v>Descripción</v>
          </cell>
          <cell r="E885" t="str">
            <v>Unidad</v>
          </cell>
          <cell r="F885" t="str">
            <v>Precio-Unit.</v>
          </cell>
          <cell r="G885" t="str">
            <v>Cantidad</v>
          </cell>
          <cell r="H885" t="str">
            <v>Desperdicio</v>
          </cell>
          <cell r="I885" t="str">
            <v>Valor-Unit.</v>
          </cell>
        </row>
        <row r="886">
          <cell r="A886" t="str">
            <v>Grama tipo macana</v>
          </cell>
          <cell r="E886" t="str">
            <v>m2</v>
          </cell>
          <cell r="F886">
            <v>25000</v>
          </cell>
          <cell r="G886">
            <v>0.1</v>
          </cell>
          <cell r="H886">
            <v>0.05</v>
          </cell>
          <cell r="I886">
            <v>2625</v>
          </cell>
        </row>
        <row r="887">
          <cell r="A887" t="str">
            <v>Tierra abonada - Forza 4kg, medidas 40x28x20cm</v>
          </cell>
          <cell r="E887" t="str">
            <v>Bulto</v>
          </cell>
          <cell r="F887">
            <v>14900</v>
          </cell>
          <cell r="G887">
            <v>0.223</v>
          </cell>
          <cell r="H887">
            <v>0.05</v>
          </cell>
          <cell r="I887">
            <v>3489</v>
          </cell>
        </row>
        <row r="888">
          <cell r="E888" t="str">
            <v/>
          </cell>
          <cell r="F888" t="str">
            <v/>
          </cell>
          <cell r="I888" t="str">
            <v/>
          </cell>
        </row>
        <row r="889">
          <cell r="E889" t="str">
            <v/>
          </cell>
          <cell r="F889" t="str">
            <v/>
          </cell>
          <cell r="I889" t="str">
            <v/>
          </cell>
        </row>
        <row r="890">
          <cell r="E890" t="str">
            <v/>
          </cell>
          <cell r="F890" t="str">
            <v/>
          </cell>
          <cell r="I890" t="str">
            <v/>
          </cell>
        </row>
        <row r="891">
          <cell r="E891" t="str">
            <v/>
          </cell>
          <cell r="F891" t="str">
            <v/>
          </cell>
          <cell r="I891" t="str">
            <v/>
          </cell>
        </row>
        <row r="892">
          <cell r="A892" t="str">
            <v>Sub-Total</v>
          </cell>
          <cell r="J892">
            <v>6114</v>
          </cell>
        </row>
        <row r="893">
          <cell r="A893" t="str">
            <v>III. TRANSPORTES</v>
          </cell>
        </row>
        <row r="894">
          <cell r="A894" t="str">
            <v>Material</v>
          </cell>
          <cell r="E894" t="str">
            <v>TIPO</v>
          </cell>
          <cell r="F894" t="str">
            <v>Vol. Peso ó Cant.</v>
          </cell>
          <cell r="G894" t="str">
            <v>Distancia</v>
          </cell>
          <cell r="H894" t="str">
            <v>Tarifa</v>
          </cell>
          <cell r="I894" t="str">
            <v>Valor-Unit.</v>
          </cell>
        </row>
        <row r="895">
          <cell r="A895" t="str">
            <v>TRANSPORTE DESDE ISTMINA</v>
          </cell>
          <cell r="E895" t="str">
            <v>m3/km</v>
          </cell>
          <cell r="F895">
            <v>0.01</v>
          </cell>
          <cell r="G895">
            <v>9.6</v>
          </cell>
          <cell r="H895">
            <v>8681</v>
          </cell>
          <cell r="I895">
            <v>833.37599999999998</v>
          </cell>
        </row>
        <row r="896">
          <cell r="E896" t="str">
            <v/>
          </cell>
          <cell r="G896" t="str">
            <v/>
          </cell>
          <cell r="H896" t="str">
            <v/>
          </cell>
          <cell r="I896" t="str">
            <v/>
          </cell>
        </row>
        <row r="899">
          <cell r="A899" t="str">
            <v>Sub-Total</v>
          </cell>
          <cell r="J899">
            <v>833.37599999999998</v>
          </cell>
        </row>
        <row r="900">
          <cell r="A900" t="str">
            <v>IV. MANO DE OBRA</v>
          </cell>
        </row>
        <row r="901">
          <cell r="A901" t="str">
            <v>Trabajador</v>
          </cell>
          <cell r="E901" t="str">
            <v>Jornal</v>
          </cell>
          <cell r="F901" t="str">
            <v>Prestaciones</v>
          </cell>
          <cell r="G901" t="str">
            <v>Jornal Total</v>
          </cell>
          <cell r="H901" t="str">
            <v>Rendimiento</v>
          </cell>
          <cell r="I901" t="str">
            <v>Valor-Unit.</v>
          </cell>
        </row>
        <row r="902">
          <cell r="A902" t="str">
            <v>OFICIAL A</v>
          </cell>
          <cell r="D902">
            <v>1</v>
          </cell>
          <cell r="E902">
            <v>101567</v>
          </cell>
          <cell r="F902">
            <v>1.6519796512835072</v>
          </cell>
          <cell r="G902">
            <v>167786.61724191197</v>
          </cell>
          <cell r="H902">
            <v>100</v>
          </cell>
          <cell r="I902">
            <v>1677.8661724191197</v>
          </cell>
        </row>
        <row r="903">
          <cell r="A903" t="str">
            <v>AYUDANTE ENTENDIDO</v>
          </cell>
          <cell r="D903">
            <v>1</v>
          </cell>
          <cell r="E903">
            <v>77842</v>
          </cell>
          <cell r="F903">
            <v>1.6752877632282406</v>
          </cell>
          <cell r="G903">
            <v>130407.75006521271</v>
          </cell>
          <cell r="H903">
            <v>100</v>
          </cell>
          <cell r="I903">
            <v>1304.0775006521271</v>
          </cell>
        </row>
        <row r="904">
          <cell r="E904" t="str">
            <v/>
          </cell>
          <cell r="F904" t="str">
            <v/>
          </cell>
          <cell r="G904" t="str">
            <v/>
          </cell>
          <cell r="I904" t="str">
            <v/>
          </cell>
        </row>
        <row r="906">
          <cell r="A906" t="str">
            <v>Sub-Total</v>
          </cell>
          <cell r="J906">
            <v>2981.9436730712468</v>
          </cell>
        </row>
        <row r="907">
          <cell r="A907" t="str">
            <v>AMPLIACIÓN Y OPTIMIZACIÓN DEL SITIO DE DISPOSICIÓN FINAL DE RESIDUOS SOLIDOS DEL CORREGIMIENTO DE SAN MIGUEL EN EL MUNICIPIO DEL MEDIO SAN JUAN MEDIANTE LA EJECUCIÓN DE ACTIVIDADES DE CIERRE - CLAUSURA Y APERTURA DE CELDA DE CONTINGENCIA</v>
          </cell>
        </row>
        <row r="909">
          <cell r="A909" t="str">
            <v xml:space="preserve">ITEM:  </v>
          </cell>
          <cell r="B909" t="str">
            <v>DESCRIPCION</v>
          </cell>
          <cell r="I909" t="str">
            <v>UNIDAD:</v>
          </cell>
          <cell r="J909" t="str">
            <v>COSTO DIRECTO</v>
          </cell>
        </row>
        <row r="910">
          <cell r="A910">
            <v>7.07</v>
          </cell>
          <cell r="B910" t="e">
            <v>#N/A</v>
          </cell>
          <cell r="I910" t="e">
            <v>#N/A</v>
          </cell>
          <cell r="J910">
            <v>696320</v>
          </cell>
        </row>
        <row r="911">
          <cell r="A911" t="str">
            <v>I. EQUIPO</v>
          </cell>
        </row>
        <row r="912">
          <cell r="A912" t="str">
            <v>Descripción</v>
          </cell>
          <cell r="F912" t="str">
            <v>Tipo</v>
          </cell>
          <cell r="G912" t="str">
            <v>Tarifa/dia</v>
          </cell>
          <cell r="H912" t="str">
            <v>Rendimiento</v>
          </cell>
          <cell r="I912" t="str">
            <v>Valor-Unit.</v>
          </cell>
        </row>
        <row r="913">
          <cell r="A913" t="str">
            <v>Herramienta menor (% Mano de obra)</v>
          </cell>
          <cell r="G913">
            <v>0.05</v>
          </cell>
          <cell r="I913">
            <v>5642.6391594277775</v>
          </cell>
        </row>
        <row r="914">
          <cell r="F914" t="str">
            <v/>
          </cell>
          <cell r="G914" t="str">
            <v/>
          </cell>
          <cell r="I914" t="str">
            <v/>
          </cell>
        </row>
        <row r="915">
          <cell r="F915" t="str">
            <v/>
          </cell>
          <cell r="G915" t="str">
            <v/>
          </cell>
          <cell r="I915" t="str">
            <v/>
          </cell>
        </row>
        <row r="918">
          <cell r="A918" t="str">
            <v>Sub-Total</v>
          </cell>
          <cell r="J918">
            <v>5642.6391594277775</v>
          </cell>
        </row>
        <row r="919">
          <cell r="A919" t="str">
            <v>II. MATERIALES EN OBRA</v>
          </cell>
        </row>
        <row r="920">
          <cell r="A920" t="str">
            <v>Descripción</v>
          </cell>
          <cell r="E920" t="str">
            <v>Unidad</v>
          </cell>
          <cell r="F920" t="str">
            <v>Precio-Unit.</v>
          </cell>
          <cell r="G920" t="str">
            <v>Cantidad</v>
          </cell>
          <cell r="H920" t="str">
            <v>Desperdicio</v>
          </cell>
          <cell r="I920" t="str">
            <v>Valor-Unit.</v>
          </cell>
        </row>
        <row r="921">
          <cell r="A921" t="str">
            <v>Escoba</v>
          </cell>
          <cell r="E921" t="str">
            <v>un</v>
          </cell>
          <cell r="F921">
            <v>10500</v>
          </cell>
          <cell r="G921">
            <v>6</v>
          </cell>
          <cell r="I921">
            <v>63000</v>
          </cell>
        </row>
        <row r="922">
          <cell r="A922" t="str">
            <v>Trapero</v>
          </cell>
          <cell r="E922" t="str">
            <v>un</v>
          </cell>
          <cell r="F922">
            <v>29265</v>
          </cell>
          <cell r="G922">
            <v>5</v>
          </cell>
          <cell r="I922">
            <v>146325</v>
          </cell>
        </row>
        <row r="923">
          <cell r="A923" t="str">
            <v>Bolsas de basura</v>
          </cell>
          <cell r="E923" t="str">
            <v>un</v>
          </cell>
          <cell r="F923">
            <v>1000</v>
          </cell>
          <cell r="G923">
            <v>50</v>
          </cell>
          <cell r="I923">
            <v>50000</v>
          </cell>
        </row>
        <row r="924">
          <cell r="A924" t="str">
            <v>Balde</v>
          </cell>
          <cell r="E924" t="str">
            <v>UN</v>
          </cell>
          <cell r="F924">
            <v>20000</v>
          </cell>
          <cell r="G924">
            <v>5</v>
          </cell>
          <cell r="I924">
            <v>100000</v>
          </cell>
        </row>
        <row r="925">
          <cell r="A925" t="str">
            <v xml:space="preserve">Detergente </v>
          </cell>
          <cell r="E925" t="str">
            <v>un</v>
          </cell>
          <cell r="F925">
            <v>20500</v>
          </cell>
          <cell r="G925">
            <v>10</v>
          </cell>
          <cell r="I925">
            <v>205000</v>
          </cell>
        </row>
        <row r="926">
          <cell r="A926" t="str">
            <v>Sub-Total</v>
          </cell>
          <cell r="J926">
            <v>564325</v>
          </cell>
        </row>
        <row r="927">
          <cell r="A927" t="str">
            <v>III. TRANSPORTES</v>
          </cell>
        </row>
        <row r="928">
          <cell r="A928" t="str">
            <v>Material</v>
          </cell>
          <cell r="E928" t="str">
            <v>TIPO</v>
          </cell>
          <cell r="F928" t="str">
            <v>Vol. Peso ó Cant.</v>
          </cell>
          <cell r="G928" t="str">
            <v>Distancia</v>
          </cell>
          <cell r="H928" t="str">
            <v>Tarifa</v>
          </cell>
          <cell r="I928" t="str">
            <v>Valor-Unit.</v>
          </cell>
        </row>
        <row r="929">
          <cell r="A929" t="str">
            <v>TRANSPORTE INTERNO</v>
          </cell>
          <cell r="E929" t="str">
            <v>M3</v>
          </cell>
          <cell r="F929">
            <v>0.3</v>
          </cell>
          <cell r="G929">
            <v>3</v>
          </cell>
          <cell r="H929">
            <v>15000</v>
          </cell>
          <cell r="I929">
            <v>13500</v>
          </cell>
        </row>
        <row r="930">
          <cell r="E930" t="str">
            <v/>
          </cell>
          <cell r="G930" t="str">
            <v/>
          </cell>
          <cell r="H930" t="str">
            <v/>
          </cell>
          <cell r="I930" t="str">
            <v/>
          </cell>
        </row>
        <row r="933">
          <cell r="A933" t="str">
            <v>Sub-Total</v>
          </cell>
          <cell r="J933">
            <v>13500</v>
          </cell>
        </row>
        <row r="934">
          <cell r="A934" t="str">
            <v>IV. MANO DE OBRA</v>
          </cell>
        </row>
        <row r="935">
          <cell r="A935" t="str">
            <v>Trabajador</v>
          </cell>
          <cell r="E935" t="str">
            <v>Jornal</v>
          </cell>
          <cell r="F935" t="str">
            <v>Prestaciones</v>
          </cell>
          <cell r="G935" t="str">
            <v>Jornal Total</v>
          </cell>
          <cell r="H935" t="str">
            <v>Rendimiento</v>
          </cell>
          <cell r="I935" t="str">
            <v>Valor-Unit.</v>
          </cell>
        </row>
        <row r="936">
          <cell r="A936" t="str">
            <v>OFICIAL B</v>
          </cell>
          <cell r="D936">
            <v>1</v>
          </cell>
          <cell r="E936">
            <v>142350</v>
          </cell>
          <cell r="F936">
            <v>1.5821008628015805</v>
          </cell>
          <cell r="G936">
            <v>225212.05781980499</v>
          </cell>
          <cell r="H936">
            <v>4.8052608156683023</v>
          </cell>
          <cell r="I936">
            <v>46867.811438135876</v>
          </cell>
        </row>
        <row r="937">
          <cell r="A937" t="str">
            <v>AYUDANTE ENTENDIDO</v>
          </cell>
          <cell r="D937">
            <v>1</v>
          </cell>
          <cell r="E937">
            <v>77842</v>
          </cell>
          <cell r="F937">
            <v>1.6752877632282406</v>
          </cell>
          <cell r="G937">
            <v>130407.75006521271</v>
          </cell>
          <cell r="H937">
            <v>4.8052608156683023</v>
          </cell>
          <cell r="I937">
            <v>27138.537338077029</v>
          </cell>
        </row>
        <row r="938">
          <cell r="A938" t="str">
            <v xml:space="preserve"> AYUDANTE RASO</v>
          </cell>
          <cell r="D938">
            <v>2</v>
          </cell>
          <cell r="E938">
            <v>54117</v>
          </cell>
          <cell r="F938">
            <v>1.7246636834087141</v>
          </cell>
          <cell r="G938">
            <v>186667.24911005876</v>
          </cell>
          <cell r="H938">
            <v>4.8052608156683023</v>
          </cell>
          <cell r="I938">
            <v>38846.434412342634</v>
          </cell>
        </row>
        <row r="940">
          <cell r="A940" t="str">
            <v>Sub-Total</v>
          </cell>
          <cell r="J940">
            <v>112852.78318855554</v>
          </cell>
        </row>
        <row r="941">
          <cell r="A941" t="str">
            <v>CONSTRUCCION DE 14 METROS BOX CULVERT EN EL SECTOR BARRIO NUEVO DE SANTA RITA, CABECERA MUNICIPAL DE RIO IRÓ - DEPARTAMENTO DEL CHOCÓ</v>
          </cell>
        </row>
      </sheetData>
      <sheetData sheetId="3">
        <row r="7">
          <cell r="B7" t="str">
            <v>Accesorios tuberia 3"</v>
          </cell>
          <cell r="C7" t="str">
            <v>UN</v>
          </cell>
          <cell r="D7">
            <v>5500</v>
          </cell>
        </row>
        <row r="8">
          <cell r="B8" t="str">
            <v>Alambre quemado</v>
          </cell>
          <cell r="C8" t="str">
            <v>Rollo</v>
          </cell>
          <cell r="D8">
            <v>9000</v>
          </cell>
        </row>
        <row r="9">
          <cell r="B9" t="str">
            <v>Alambre de púa calibre 14 x 350m</v>
          </cell>
          <cell r="C9" t="str">
            <v>Rollo</v>
          </cell>
          <cell r="D9">
            <v>270900</v>
          </cell>
        </row>
        <row r="10">
          <cell r="B10" t="str">
            <v>Alambre de púa calibre 14.5 x 125m</v>
          </cell>
          <cell r="C10" t="str">
            <v>Rollo</v>
          </cell>
          <cell r="D10">
            <v>119900</v>
          </cell>
        </row>
        <row r="11">
          <cell r="B11" t="str">
            <v>Alambre de púa calibre 16 x 400m</v>
          </cell>
          <cell r="C11" t="str">
            <v>Rollo</v>
          </cell>
          <cell r="D11">
            <v>242970</v>
          </cell>
        </row>
        <row r="12">
          <cell r="B12" t="str">
            <v>Malla electrosoldada D-84</v>
          </cell>
          <cell r="C12" t="str">
            <v>m2</v>
          </cell>
          <cell r="D12">
            <v>9297.8723404255306</v>
          </cell>
        </row>
        <row r="13">
          <cell r="B13" t="str">
            <v>Metaldeck 0.94x6.10m</v>
          </cell>
          <cell r="C13" t="str">
            <v>un</v>
          </cell>
          <cell r="D13">
            <v>269900</v>
          </cell>
        </row>
        <row r="14">
          <cell r="B14" t="str">
            <v>Varillas 1/2"</v>
          </cell>
          <cell r="C14" t="str">
            <v>UN</v>
          </cell>
          <cell r="D14">
            <v>30000</v>
          </cell>
        </row>
        <row r="15">
          <cell r="B15" t="str">
            <v>Varillas 1/4"</v>
          </cell>
          <cell r="C15" t="str">
            <v>UN</v>
          </cell>
          <cell r="D15">
            <v>9500</v>
          </cell>
        </row>
        <row r="16">
          <cell r="B16" t="str">
            <v>Varillas 3/4"</v>
          </cell>
          <cell r="C16" t="str">
            <v>UN</v>
          </cell>
          <cell r="D16">
            <v>66885</v>
          </cell>
        </row>
        <row r="17">
          <cell r="B17" t="str">
            <v>Varillas 3/8"</v>
          </cell>
          <cell r="C17" t="str">
            <v>UN</v>
          </cell>
          <cell r="D17">
            <v>22000</v>
          </cell>
        </row>
        <row r="18">
          <cell r="B18" t="str">
            <v>Varillas 5/8"</v>
          </cell>
          <cell r="C18" t="str">
            <v>UN</v>
          </cell>
          <cell r="D18">
            <v>52000</v>
          </cell>
        </row>
        <row r="19">
          <cell r="B19" t="str">
            <v>Varillas 7/8"</v>
          </cell>
          <cell r="C19" t="str">
            <v>UN</v>
          </cell>
          <cell r="D19">
            <v>93975</v>
          </cell>
        </row>
        <row r="20">
          <cell r="B20" t="str">
            <v>ADITIVOS</v>
          </cell>
        </row>
        <row r="21">
          <cell r="B21" t="str">
            <v>Rapid seal - sellador base solvente</v>
          </cell>
          <cell r="C21" t="str">
            <v>Cuñete</v>
          </cell>
          <cell r="D21">
            <v>640001</v>
          </cell>
        </row>
        <row r="22">
          <cell r="B22" t="str">
            <v>Removedor y desincrustante x 20 litros</v>
          </cell>
          <cell r="C22" t="str">
            <v>Cuñete</v>
          </cell>
          <cell r="D22">
            <v>163200</v>
          </cell>
        </row>
        <row r="23">
          <cell r="B23" t="str">
            <v>Sika plastocrete DM 20kg</v>
          </cell>
          <cell r="C23" t="str">
            <v>UN</v>
          </cell>
          <cell r="D23">
            <v>399900</v>
          </cell>
        </row>
        <row r="24">
          <cell r="B24" t="str">
            <v>Sikasil E - silicona antihongos 300ml</v>
          </cell>
          <cell r="C24" t="str">
            <v>UN</v>
          </cell>
          <cell r="D24">
            <v>24900</v>
          </cell>
        </row>
        <row r="25">
          <cell r="B25" t="str">
            <v>GENERAL</v>
          </cell>
        </row>
        <row r="26">
          <cell r="B26" t="str">
            <v>Angulo 2 x 1/4" x 6m</v>
          </cell>
          <cell r="C26" t="str">
            <v>UN</v>
          </cell>
          <cell r="D26">
            <v>74500</v>
          </cell>
        </row>
        <row r="27">
          <cell r="B27" t="str">
            <v xml:space="preserve">Anticorrosivo </v>
          </cell>
          <cell r="C27" t="str">
            <v>Galón</v>
          </cell>
          <cell r="D27">
            <v>98000</v>
          </cell>
        </row>
        <row r="28">
          <cell r="B28" t="str">
            <v xml:space="preserve">Antisol </v>
          </cell>
          <cell r="C28" t="str">
            <v>Cuñete</v>
          </cell>
          <cell r="D28">
            <v>276770</v>
          </cell>
        </row>
        <row r="29">
          <cell r="B29" t="str">
            <v>Balde</v>
          </cell>
          <cell r="C29" t="str">
            <v>UN</v>
          </cell>
          <cell r="D29">
            <v>20000</v>
          </cell>
        </row>
        <row r="30">
          <cell r="B30" t="str">
            <v xml:space="preserve">Bisagras </v>
          </cell>
          <cell r="C30" t="str">
            <v>UN</v>
          </cell>
          <cell r="D30">
            <v>19800</v>
          </cell>
        </row>
        <row r="31">
          <cell r="B31" t="str">
            <v>Bolsas de basura</v>
          </cell>
          <cell r="C31" t="str">
            <v>un</v>
          </cell>
          <cell r="D31">
            <v>1000</v>
          </cell>
        </row>
        <row r="32">
          <cell r="B32" t="str">
            <v>Brocha 3"</v>
          </cell>
          <cell r="C32" t="str">
            <v>un</v>
          </cell>
          <cell r="D32">
            <v>15600</v>
          </cell>
        </row>
        <row r="33">
          <cell r="B33" t="str">
            <v>Cable concentrico 2#6+1#8+1#10AWG</v>
          </cell>
          <cell r="C33" t="str">
            <v>m</v>
          </cell>
          <cell r="D33">
            <v>95500</v>
          </cell>
        </row>
        <row r="34">
          <cell r="B34" t="str">
            <v>Canal para recolección aguas lluvias</v>
          </cell>
          <cell r="C34" t="str">
            <v>m</v>
          </cell>
          <cell r="D34">
            <v>185000</v>
          </cell>
        </row>
        <row r="35">
          <cell r="B35" t="str">
            <v>Capelote, tapa MP, tornillo</v>
          </cell>
          <cell r="C35" t="str">
            <v>UN</v>
          </cell>
          <cell r="D35">
            <v>1547</v>
          </cell>
        </row>
        <row r="36">
          <cell r="B36" t="str">
            <v>Cemento</v>
          </cell>
          <cell r="C36" t="str">
            <v>Bulto</v>
          </cell>
          <cell r="D36">
            <v>50000</v>
          </cell>
        </row>
        <row r="37">
          <cell r="B37" t="str">
            <v>Cemento x kg</v>
          </cell>
          <cell r="C37" t="str">
            <v>kg</v>
          </cell>
          <cell r="D37">
            <v>1261</v>
          </cell>
        </row>
        <row r="38">
          <cell r="B38" t="str">
            <v>Cemento blanco x kg</v>
          </cell>
          <cell r="C38" t="str">
            <v>kg</v>
          </cell>
          <cell r="D38">
            <v>1873</v>
          </cell>
        </row>
        <row r="39">
          <cell r="B39" t="str">
            <v xml:space="preserve">Cepillo alambre </v>
          </cell>
          <cell r="C39" t="str">
            <v>UN</v>
          </cell>
          <cell r="D39">
            <v>17850</v>
          </cell>
        </row>
        <row r="40">
          <cell r="B40" t="str">
            <v>Cerradura</v>
          </cell>
          <cell r="C40" t="str">
            <v>Un</v>
          </cell>
          <cell r="D40">
            <v>45000</v>
          </cell>
        </row>
        <row r="41">
          <cell r="B41" t="str">
            <v>Chazos para metaldeck</v>
          </cell>
          <cell r="C41" t="str">
            <v>un</v>
          </cell>
          <cell r="D41">
            <v>7900</v>
          </cell>
        </row>
        <row r="42">
          <cell r="B42" t="str">
            <v>chimenea de de venteo de Biogas</v>
          </cell>
          <cell r="C42" t="str">
            <v>UN</v>
          </cell>
          <cell r="D42">
            <v>550000</v>
          </cell>
        </row>
        <row r="43">
          <cell r="B43" t="str">
            <v>Clavos común 1"</v>
          </cell>
          <cell r="C43" t="str">
            <v>libra</v>
          </cell>
          <cell r="D43">
            <v>5000</v>
          </cell>
        </row>
        <row r="44">
          <cell r="B44" t="str">
            <v>Clavos común 2 a 3½"</v>
          </cell>
          <cell r="C44" t="str">
            <v>libra</v>
          </cell>
          <cell r="D44">
            <v>4500</v>
          </cell>
        </row>
        <row r="45">
          <cell r="B45" t="str">
            <v xml:space="preserve">Codo 45º CxC 6" PVC Campana*x Campana </v>
          </cell>
          <cell r="C45" t="str">
            <v>UN</v>
          </cell>
          <cell r="D45">
            <v>72670</v>
          </cell>
        </row>
        <row r="46">
          <cell r="B46" t="str">
            <v>Concolor junta estrecha 2kg</v>
          </cell>
          <cell r="C46" t="str">
            <v>UN</v>
          </cell>
          <cell r="D46">
            <v>15700</v>
          </cell>
        </row>
        <row r="47">
          <cell r="B47" t="str">
            <v>Concreto 2000 Psi (14 Mpa)</v>
          </cell>
          <cell r="C47" t="str">
            <v>m3</v>
          </cell>
          <cell r="D47">
            <v>868113</v>
          </cell>
        </row>
        <row r="48">
          <cell r="B48" t="str">
            <v>Concreto 3000 Psi (21 Mpa)</v>
          </cell>
          <cell r="C48" t="str">
            <v>m3</v>
          </cell>
          <cell r="D48">
            <v>840990</v>
          </cell>
        </row>
        <row r="49">
          <cell r="B49" t="str">
            <v xml:space="preserve">Crucetas juntas plástica 2mm x 300un </v>
          </cell>
          <cell r="C49" t="str">
            <v>Bolsa</v>
          </cell>
          <cell r="D49">
            <v>10900</v>
          </cell>
        </row>
        <row r="50">
          <cell r="B50" t="str">
            <v xml:space="preserve">Detergente </v>
          </cell>
          <cell r="C50" t="str">
            <v>un</v>
          </cell>
          <cell r="D50">
            <v>20500</v>
          </cell>
        </row>
        <row r="51">
          <cell r="B51" t="str">
            <v>Disco abrasivo corte metal 7"</v>
          </cell>
          <cell r="C51" t="str">
            <v>un</v>
          </cell>
          <cell r="D51">
            <v>7800</v>
          </cell>
        </row>
        <row r="52">
          <cell r="B52" t="str">
            <v>Disco diamantado</v>
          </cell>
          <cell r="C52" t="str">
            <v>un</v>
          </cell>
          <cell r="D52">
            <v>90900</v>
          </cell>
        </row>
        <row r="53">
          <cell r="B53" t="str">
            <v>Enchape pared</v>
          </cell>
          <cell r="C53" t="str">
            <v>m2</v>
          </cell>
          <cell r="D53">
            <v>175000</v>
          </cell>
        </row>
        <row r="54">
          <cell r="B54" t="str">
            <v>Enchape piso</v>
          </cell>
          <cell r="C54" t="str">
            <v>m2</v>
          </cell>
          <cell r="D54">
            <v>135000</v>
          </cell>
        </row>
        <row r="55">
          <cell r="B55" t="str">
            <v>Enchape tráfico 5</v>
          </cell>
          <cell r="C55" t="str">
            <v>m2</v>
          </cell>
          <cell r="D55">
            <v>210798.47619047618</v>
          </cell>
        </row>
        <row r="56">
          <cell r="B56" t="str">
            <v>Escoba</v>
          </cell>
          <cell r="C56" t="str">
            <v>un</v>
          </cell>
          <cell r="D56">
            <v>10500</v>
          </cell>
        </row>
        <row r="57">
          <cell r="B57" t="str">
            <v xml:space="preserve">Estopa </v>
          </cell>
          <cell r="C57" t="str">
            <v>bolsa</v>
          </cell>
          <cell r="D57">
            <v>3500</v>
          </cell>
        </row>
        <row r="58">
          <cell r="B58" t="str">
            <v xml:space="preserve">Estructura metálica. Incluye perfiles </v>
          </cell>
          <cell r="C58" t="str">
            <v>m</v>
          </cell>
          <cell r="D58">
            <v>25000</v>
          </cell>
        </row>
        <row r="59">
          <cell r="B59" t="str">
            <v>Formaleta en madera común</v>
          </cell>
          <cell r="C59" t="str">
            <v>m2</v>
          </cell>
          <cell r="D59">
            <v>73878</v>
          </cell>
        </row>
        <row r="60">
          <cell r="B60" t="str">
            <v>Geomembrana textil HR 30.000</v>
          </cell>
          <cell r="C60" t="str">
            <v>m2</v>
          </cell>
          <cell r="D60">
            <v>10800</v>
          </cell>
        </row>
        <row r="61">
          <cell r="B61" t="str">
            <v>Geotextil NT 1600s</v>
          </cell>
          <cell r="C61" t="str">
            <v>m2</v>
          </cell>
          <cell r="D61">
            <v>3686</v>
          </cell>
        </row>
        <row r="62">
          <cell r="B62" t="str">
            <v>Kit Silla Yee Alcantarillado S8 200x160mm Novafort</v>
          </cell>
          <cell r="C62" t="str">
            <v>UN</v>
          </cell>
          <cell r="D62">
            <v>172770</v>
          </cell>
        </row>
        <row r="63">
          <cell r="B63" t="str">
            <v>Ladrillo 10x15x30cm</v>
          </cell>
          <cell r="C63" t="str">
            <v>un</v>
          </cell>
          <cell r="D63">
            <v>3000</v>
          </cell>
        </row>
        <row r="64">
          <cell r="B64" t="str">
            <v>Ladrillo 10x20x40cm</v>
          </cell>
          <cell r="C64" t="str">
            <v>un</v>
          </cell>
          <cell r="D64">
            <v>3500</v>
          </cell>
        </row>
        <row r="65">
          <cell r="B65" t="str">
            <v>Ladrillo 12x20x40cm</v>
          </cell>
          <cell r="C65" t="str">
            <v>un</v>
          </cell>
          <cell r="D65">
            <v>4500</v>
          </cell>
        </row>
        <row r="66">
          <cell r="B66" t="str">
            <v xml:space="preserve">Lámina metálica </v>
          </cell>
          <cell r="C66" t="str">
            <v>UN</v>
          </cell>
          <cell r="D66">
            <v>450000</v>
          </cell>
        </row>
        <row r="67">
          <cell r="B67" t="str">
            <v>Lámina de policarbonato de 6mm</v>
          </cell>
          <cell r="C67" t="str">
            <v>m2</v>
          </cell>
          <cell r="D67">
            <v>71500</v>
          </cell>
        </row>
        <row r="68">
          <cell r="B68" t="str">
            <v xml:space="preserve">Lija </v>
          </cell>
          <cell r="C68" t="str">
            <v>un</v>
          </cell>
          <cell r="D68">
            <v>2200</v>
          </cell>
        </row>
        <row r="69">
          <cell r="B69" t="str">
            <v>Limpiador x 1/4</v>
          </cell>
          <cell r="C69" t="str">
            <v>un</v>
          </cell>
          <cell r="D69">
            <v>54900</v>
          </cell>
        </row>
        <row r="70">
          <cell r="B70" t="str">
            <v>Liston 2" x 2" x 3m</v>
          </cell>
          <cell r="C70" t="str">
            <v>UN</v>
          </cell>
          <cell r="D70">
            <v>18000</v>
          </cell>
        </row>
        <row r="71">
          <cell r="B71" t="str">
            <v>Liston 3" x 3" x 3m</v>
          </cell>
          <cell r="C71" t="str">
            <v>UN</v>
          </cell>
          <cell r="D71">
            <v>25000</v>
          </cell>
        </row>
        <row r="72">
          <cell r="B72" t="str">
            <v>Malla para gallinero, ancho 1.50m</v>
          </cell>
          <cell r="C72" t="str">
            <v>m</v>
          </cell>
          <cell r="D72">
            <v>5400</v>
          </cell>
        </row>
        <row r="73">
          <cell r="B73" t="str">
            <v xml:space="preserve">Masilla </v>
          </cell>
          <cell r="C73" t="str">
            <v>un</v>
          </cell>
          <cell r="D73">
            <v>39200</v>
          </cell>
        </row>
        <row r="74">
          <cell r="B74" t="str">
            <v>Mortero 1:4</v>
          </cell>
          <cell r="C74" t="str">
            <v>m3</v>
          </cell>
          <cell r="D74">
            <v>977096</v>
          </cell>
        </row>
        <row r="75">
          <cell r="B75" t="str">
            <v xml:space="preserve">Niveladores plásticos Reutilizables x 50 </v>
          </cell>
          <cell r="C75" t="str">
            <v>Bolsa</v>
          </cell>
          <cell r="D75">
            <v>69900</v>
          </cell>
        </row>
        <row r="76">
          <cell r="B76" t="str">
            <v>Nylon 1 mmx 100m</v>
          </cell>
          <cell r="C76" t="str">
            <v>Rollo</v>
          </cell>
          <cell r="D76">
            <v>12000</v>
          </cell>
        </row>
        <row r="77">
          <cell r="B77" t="str">
            <v xml:space="preserve">Palo redondo </v>
          </cell>
          <cell r="C77" t="str">
            <v>un</v>
          </cell>
          <cell r="D77">
            <v>4500</v>
          </cell>
        </row>
        <row r="78">
          <cell r="B78" t="str">
            <v>Pega PVC x 1/4</v>
          </cell>
          <cell r="C78" t="str">
            <v>un</v>
          </cell>
          <cell r="D78">
            <v>95900</v>
          </cell>
        </row>
        <row r="79">
          <cell r="B79" t="str">
            <v>Pegacor ceramico gris x25lg</v>
          </cell>
          <cell r="C79" t="str">
            <v>bulto</v>
          </cell>
          <cell r="D79">
            <v>33500</v>
          </cell>
        </row>
        <row r="80">
          <cell r="B80" t="str">
            <v>Plano de localizacion</v>
          </cell>
          <cell r="C80" t="str">
            <v>UN</v>
          </cell>
          <cell r="D80">
            <v>12000</v>
          </cell>
        </row>
        <row r="81">
          <cell r="B81" t="str">
            <v>Plastico negro</v>
          </cell>
          <cell r="C81" t="str">
            <v>m2</v>
          </cell>
          <cell r="D81">
            <v>4500</v>
          </cell>
        </row>
        <row r="82">
          <cell r="B82" t="str">
            <v>Poliuretano 100% Blanco</v>
          </cell>
          <cell r="C82" t="str">
            <v>UN</v>
          </cell>
          <cell r="D82">
            <v>39800</v>
          </cell>
        </row>
        <row r="83">
          <cell r="B83" t="str">
            <v>Puerta metálica</v>
          </cell>
          <cell r="C83" t="str">
            <v>UN</v>
          </cell>
          <cell r="D83">
            <v>1012253</v>
          </cell>
        </row>
        <row r="84">
          <cell r="B84" t="str">
            <v>Puerta metálica tipo reja</v>
          </cell>
          <cell r="C84" t="str">
            <v>UN</v>
          </cell>
          <cell r="D84">
            <v>1130970.318581885</v>
          </cell>
        </row>
        <row r="85">
          <cell r="B85" t="str">
            <v>Puntilla 2" con cabeza</v>
          </cell>
          <cell r="C85" t="str">
            <v>Lb</v>
          </cell>
          <cell r="D85">
            <v>3800</v>
          </cell>
        </row>
        <row r="86">
          <cell r="B86" t="str">
            <v>PTAP Compacta</v>
          </cell>
          <cell r="C86" t="str">
            <v>UN</v>
          </cell>
          <cell r="D86">
            <v>191000000</v>
          </cell>
        </row>
        <row r="87">
          <cell r="B87" t="str">
            <v>Soldadura E6013 x 1/8"</v>
          </cell>
          <cell r="C87" t="str">
            <v>UN</v>
          </cell>
          <cell r="D87">
            <v>17647</v>
          </cell>
        </row>
        <row r="88">
          <cell r="B88" t="str">
            <v>Soldadura E7014 1/8</v>
          </cell>
          <cell r="C88" t="str">
            <v>kg</v>
          </cell>
          <cell r="D88">
            <v>25180</v>
          </cell>
        </row>
        <row r="89">
          <cell r="B89" t="str">
            <v>Tabla de caracolí 1" x 8" x 3m</v>
          </cell>
          <cell r="C89" t="str">
            <v>un</v>
          </cell>
          <cell r="D89">
            <v>25000</v>
          </cell>
        </row>
        <row r="90">
          <cell r="B90" t="str">
            <v>Teja arquitectonica 3,66x0,8</v>
          </cell>
          <cell r="C90" t="str">
            <v>Un</v>
          </cell>
          <cell r="D90">
            <v>89700</v>
          </cell>
        </row>
        <row r="91">
          <cell r="B91" t="str">
            <v xml:space="preserve">Teja termoacustica </v>
          </cell>
          <cell r="C91" t="str">
            <v>m2</v>
          </cell>
          <cell r="D91">
            <v>55600</v>
          </cell>
        </row>
        <row r="92">
          <cell r="B92" t="str">
            <v xml:space="preserve">Tela Verde </v>
          </cell>
          <cell r="C92" t="str">
            <v>m</v>
          </cell>
          <cell r="D92">
            <v>2600</v>
          </cell>
        </row>
        <row r="93">
          <cell r="B93" t="str">
            <v>Tornillo</v>
          </cell>
          <cell r="C93" t="str">
            <v>UN</v>
          </cell>
          <cell r="D93">
            <v>300</v>
          </cell>
        </row>
        <row r="94">
          <cell r="B94" t="str">
            <v>Trapero</v>
          </cell>
          <cell r="C94" t="str">
            <v>un</v>
          </cell>
          <cell r="D94">
            <v>29265</v>
          </cell>
        </row>
        <row r="95">
          <cell r="B95" t="str">
            <v>Tubería metálica 2"</v>
          </cell>
          <cell r="C95" t="str">
            <v>UN</v>
          </cell>
          <cell r="D95">
            <v>95900</v>
          </cell>
        </row>
        <row r="96">
          <cell r="B96" t="str">
            <v>Tubería novafort de 6"</v>
          </cell>
          <cell r="C96" t="str">
            <v>m</v>
          </cell>
          <cell r="D96">
            <v>42662.1</v>
          </cell>
        </row>
        <row r="97">
          <cell r="B97" t="str">
            <v>Tubería novafort de 8"</v>
          </cell>
          <cell r="C97" t="str">
            <v>m</v>
          </cell>
          <cell r="D97">
            <v>60862.1</v>
          </cell>
        </row>
        <row r="98">
          <cell r="B98" t="str">
            <v>Tuberìa sanitaria 3"</v>
          </cell>
          <cell r="C98" t="str">
            <v>m</v>
          </cell>
          <cell r="D98">
            <v>11933.333333333334</v>
          </cell>
        </row>
        <row r="99">
          <cell r="B99" t="str">
            <v xml:space="preserve">Ventana tipo protector </v>
          </cell>
          <cell r="C99" t="str">
            <v>m2</v>
          </cell>
          <cell r="D99">
            <v>525000</v>
          </cell>
        </row>
        <row r="100">
          <cell r="B100" t="str">
            <v>PINTURAS</v>
          </cell>
        </row>
        <row r="101">
          <cell r="B101" t="str">
            <v>Impermeabilizante</v>
          </cell>
          <cell r="C101" t="str">
            <v>Galón</v>
          </cell>
          <cell r="D101">
            <v>150000</v>
          </cell>
        </row>
        <row r="102">
          <cell r="B102" t="str">
            <v>Pintulux 3 en 1</v>
          </cell>
          <cell r="C102" t="str">
            <v>Galón</v>
          </cell>
          <cell r="D102">
            <v>119000</v>
          </cell>
        </row>
        <row r="103">
          <cell r="B103" t="str">
            <v>Pintura tipo 1</v>
          </cell>
          <cell r="C103" t="str">
            <v>Galón</v>
          </cell>
          <cell r="D103">
            <v>98500</v>
          </cell>
        </row>
        <row r="104">
          <cell r="B104" t="str">
            <v xml:space="preserve">Pintura para exterior </v>
          </cell>
          <cell r="C104" t="str">
            <v>Galón</v>
          </cell>
          <cell r="D104">
            <v>148900</v>
          </cell>
        </row>
        <row r="105">
          <cell r="B105" t="str">
            <v>Rodillo de felpa</v>
          </cell>
          <cell r="C105" t="str">
            <v>un</v>
          </cell>
          <cell r="D105">
            <v>16900</v>
          </cell>
        </row>
        <row r="106">
          <cell r="B106" t="str">
            <v xml:space="preserve">HIDRAULICO </v>
          </cell>
        </row>
        <row r="107">
          <cell r="B107" t="str">
            <v xml:space="preserve">Adaptador Tanque De Agua 1pulg - Flanche M.H. </v>
          </cell>
          <cell r="C107" t="str">
            <v>UN</v>
          </cell>
          <cell r="D107">
            <v>21900</v>
          </cell>
        </row>
        <row r="108">
          <cell r="B108" t="str">
            <v>Codo presión 1/2"</v>
          </cell>
          <cell r="C108" t="str">
            <v>UN</v>
          </cell>
          <cell r="D108">
            <v>600</v>
          </cell>
        </row>
        <row r="109">
          <cell r="B109" t="str">
            <v>Codo presión 3/4"</v>
          </cell>
          <cell r="C109" t="str">
            <v>UN</v>
          </cell>
          <cell r="D109">
            <v>800</v>
          </cell>
        </row>
        <row r="110">
          <cell r="B110" t="str">
            <v>Codo presión 1"</v>
          </cell>
          <cell r="C110" t="str">
            <v>UN</v>
          </cell>
          <cell r="D110">
            <v>1550</v>
          </cell>
        </row>
        <row r="111">
          <cell r="B111" t="str">
            <v>Codo presión 1 1/2"</v>
          </cell>
          <cell r="C111" t="str">
            <v>UN</v>
          </cell>
          <cell r="D111">
            <v>8800</v>
          </cell>
        </row>
        <row r="112">
          <cell r="B112" t="str">
            <v>Codo presión 2"</v>
          </cell>
          <cell r="C112" t="str">
            <v>UN</v>
          </cell>
          <cell r="D112">
            <v>15862</v>
          </cell>
        </row>
        <row r="113">
          <cell r="B113" t="str">
            <v>Codo presión 3"</v>
          </cell>
          <cell r="C113" t="str">
            <v>UN</v>
          </cell>
          <cell r="D113">
            <v>59116</v>
          </cell>
        </row>
        <row r="114">
          <cell r="B114" t="str">
            <v>Estopa pequeña</v>
          </cell>
          <cell r="C114" t="str">
            <v>Libra</v>
          </cell>
          <cell r="D114">
            <v>7800</v>
          </cell>
        </row>
        <row r="115">
          <cell r="B115" t="str">
            <v>Flotador tanque 1/2" economico 100 Psi</v>
          </cell>
          <cell r="C115" t="str">
            <v>UN</v>
          </cell>
          <cell r="D115">
            <v>54900</v>
          </cell>
        </row>
        <row r="116">
          <cell r="B116" t="str">
            <v>Manguera de 2"</v>
          </cell>
          <cell r="C116" t="str">
            <v>m</v>
          </cell>
          <cell r="D116">
            <v>20000</v>
          </cell>
        </row>
        <row r="117">
          <cell r="B117" t="str">
            <v>Motobomba 1 hp</v>
          </cell>
          <cell r="C117" t="str">
            <v>UN</v>
          </cell>
          <cell r="D117">
            <v>1079000</v>
          </cell>
        </row>
        <row r="118">
          <cell r="B118" t="str">
            <v>Motobomba 2x2</v>
          </cell>
          <cell r="C118" t="str">
            <v>UN</v>
          </cell>
          <cell r="D118">
            <v>3562900</v>
          </cell>
        </row>
        <row r="119">
          <cell r="B119" t="str">
            <v>Limpiador PVC 1/4"</v>
          </cell>
          <cell r="C119" t="str">
            <v>UN</v>
          </cell>
          <cell r="D119">
            <v>43100</v>
          </cell>
        </row>
        <row r="120">
          <cell r="B120" t="str">
            <v>Soldadura líquida  1/4"</v>
          </cell>
          <cell r="C120" t="str">
            <v>UN</v>
          </cell>
          <cell r="D120">
            <v>85400</v>
          </cell>
        </row>
        <row r="121">
          <cell r="B121" t="str">
            <v>Tanque séptico de Rotoplast de 5000lt</v>
          </cell>
          <cell r="C121" t="str">
            <v>UN</v>
          </cell>
          <cell r="D121">
            <v>9669900</v>
          </cell>
        </row>
        <row r="122">
          <cell r="B122" t="str">
            <v>Tee presión 1/2"</v>
          </cell>
          <cell r="C122" t="str">
            <v>UN</v>
          </cell>
          <cell r="D122">
            <v>700</v>
          </cell>
        </row>
        <row r="123">
          <cell r="B123" t="str">
            <v>Tee presión 3/4"</v>
          </cell>
          <cell r="C123" t="str">
            <v>UN</v>
          </cell>
          <cell r="D123">
            <v>1250</v>
          </cell>
        </row>
        <row r="124">
          <cell r="B124" t="str">
            <v>Tee presión 1"</v>
          </cell>
          <cell r="C124" t="str">
            <v>UN</v>
          </cell>
          <cell r="D124">
            <v>2200</v>
          </cell>
        </row>
        <row r="125">
          <cell r="B125" t="str">
            <v>Tee presión 1 1/2"</v>
          </cell>
          <cell r="C125" t="str">
            <v>UN</v>
          </cell>
          <cell r="D125">
            <v>11900</v>
          </cell>
        </row>
        <row r="126">
          <cell r="B126" t="str">
            <v>Tee presión 2"</v>
          </cell>
          <cell r="C126" t="str">
            <v>UN</v>
          </cell>
          <cell r="D126">
            <v>60267</v>
          </cell>
        </row>
        <row r="127">
          <cell r="B127" t="str">
            <v>Tee presión 3"</v>
          </cell>
          <cell r="C127" t="str">
            <v>UN</v>
          </cell>
          <cell r="D127">
            <v>76469</v>
          </cell>
        </row>
        <row r="128">
          <cell r="B128" t="str">
            <v>Tuberia PEAD PE80, RED 9 diametro 16mm - 1/2"</v>
          </cell>
          <cell r="C128" t="str">
            <v>m</v>
          </cell>
          <cell r="D128">
            <v>3000</v>
          </cell>
        </row>
        <row r="129">
          <cell r="B129" t="str">
            <v>Tubería PVC-P 315Psi - 1"</v>
          </cell>
          <cell r="C129" t="str">
            <v>UN</v>
          </cell>
          <cell r="D129">
            <v>38900</v>
          </cell>
        </row>
        <row r="130">
          <cell r="B130" t="str">
            <v>Tubería PVC-P 400PSI 3/4"</v>
          </cell>
          <cell r="C130" t="str">
            <v>UN</v>
          </cell>
          <cell r="D130">
            <v>35900</v>
          </cell>
        </row>
        <row r="131">
          <cell r="B131" t="str">
            <v>Tubería PVC-P 500Psi - 1/2"</v>
          </cell>
          <cell r="C131" t="str">
            <v>UN</v>
          </cell>
          <cell r="D131">
            <v>17200</v>
          </cell>
        </row>
        <row r="132">
          <cell r="B132" t="str">
            <v>Tubo PVC-P 200Psi 1 1/2"</v>
          </cell>
          <cell r="C132" t="str">
            <v>UN</v>
          </cell>
          <cell r="D132">
            <v>72900</v>
          </cell>
        </row>
        <row r="133">
          <cell r="B133" t="str">
            <v>Tubo PVC-P 160Psi 2" - RDE 26</v>
          </cell>
          <cell r="C133" t="str">
            <v>UN</v>
          </cell>
          <cell r="D133">
            <v>225371</v>
          </cell>
        </row>
        <row r="134">
          <cell r="B134" t="str">
            <v>Tubo PVC-P 160Psi 3" - RDE 26</v>
          </cell>
          <cell r="C134" t="str">
            <v>UN</v>
          </cell>
          <cell r="D134">
            <v>246483</v>
          </cell>
        </row>
        <row r="135">
          <cell r="B135" t="str">
            <v>Unión presión 1 1/2"</v>
          </cell>
          <cell r="C135" t="str">
            <v>UN</v>
          </cell>
          <cell r="D135">
            <v>3250</v>
          </cell>
        </row>
        <row r="136">
          <cell r="B136" t="str">
            <v>Unión presión 1"</v>
          </cell>
          <cell r="C136" t="str">
            <v>UN</v>
          </cell>
          <cell r="D136">
            <v>900</v>
          </cell>
        </row>
        <row r="137">
          <cell r="B137" t="str">
            <v>Unión presión 1/2"</v>
          </cell>
          <cell r="C137" t="str">
            <v>UN</v>
          </cell>
          <cell r="D137">
            <v>400</v>
          </cell>
        </row>
        <row r="138">
          <cell r="B138" t="str">
            <v>Unión presión 3/4"</v>
          </cell>
          <cell r="C138" t="str">
            <v>UN</v>
          </cell>
          <cell r="D138">
            <v>500</v>
          </cell>
        </row>
        <row r="139">
          <cell r="B139" t="str">
            <v>Unión presión 2"</v>
          </cell>
          <cell r="C139" t="str">
            <v>UN</v>
          </cell>
          <cell r="D139">
            <v>15836</v>
          </cell>
        </row>
        <row r="140">
          <cell r="B140" t="str">
            <v>Unión presión 3"</v>
          </cell>
          <cell r="C140" t="str">
            <v>UN</v>
          </cell>
          <cell r="D140">
            <v>28599</v>
          </cell>
        </row>
        <row r="141">
          <cell r="B141" t="str">
            <v>Universal PVC lisa 1"</v>
          </cell>
          <cell r="C141" t="str">
            <v>UN</v>
          </cell>
          <cell r="D141">
            <v>8500</v>
          </cell>
        </row>
        <row r="142">
          <cell r="B142" t="str">
            <v>Universal PVC lisa 3/4"</v>
          </cell>
          <cell r="C142" t="str">
            <v>UN</v>
          </cell>
          <cell r="D142">
            <v>6000</v>
          </cell>
        </row>
        <row r="143">
          <cell r="B143" t="str">
            <v>Válvula de bola de 1"</v>
          </cell>
          <cell r="C143" t="str">
            <v>UN</v>
          </cell>
          <cell r="D143">
            <v>36900</v>
          </cell>
        </row>
        <row r="144">
          <cell r="B144" t="str">
            <v>Collar de derivación de 1/2"</v>
          </cell>
          <cell r="C144" t="str">
            <v>UN</v>
          </cell>
          <cell r="D144">
            <v>63050</v>
          </cell>
        </row>
        <row r="145">
          <cell r="B145" t="str">
            <v>SANITARIOS</v>
          </cell>
        </row>
        <row r="146">
          <cell r="B146" t="str">
            <v>Codo sanitario 2"</v>
          </cell>
          <cell r="C146" t="str">
            <v>UN</v>
          </cell>
          <cell r="D146">
            <v>2500</v>
          </cell>
        </row>
        <row r="147">
          <cell r="B147" t="str">
            <v>Codo sanitario 3"</v>
          </cell>
          <cell r="C147" t="str">
            <v>UN</v>
          </cell>
          <cell r="D147">
            <v>5650</v>
          </cell>
        </row>
        <row r="148">
          <cell r="B148" t="str">
            <v>Codo sanitario 4"</v>
          </cell>
          <cell r="C148" t="str">
            <v>UN</v>
          </cell>
          <cell r="D148">
            <v>10500</v>
          </cell>
        </row>
        <row r="149">
          <cell r="B149" t="str">
            <v>Tanque séptico  rotoplas</v>
          </cell>
          <cell r="C149" t="str">
            <v>UN</v>
          </cell>
          <cell r="D149">
            <v>4941900</v>
          </cell>
        </row>
        <row r="150">
          <cell r="B150" t="str">
            <v>Tubo sanitario 2"</v>
          </cell>
          <cell r="C150" t="str">
            <v>UN</v>
          </cell>
          <cell r="D150">
            <v>45378</v>
          </cell>
        </row>
        <row r="151">
          <cell r="B151" t="str">
            <v>Tubo sanitario 3"</v>
          </cell>
          <cell r="C151" t="str">
            <v>UN</v>
          </cell>
          <cell r="D151">
            <v>61933</v>
          </cell>
        </row>
        <row r="152">
          <cell r="B152" t="str">
            <v>Tubo sanitario 4"</v>
          </cell>
          <cell r="C152" t="str">
            <v>UN</v>
          </cell>
          <cell r="D152">
            <v>78400</v>
          </cell>
        </row>
        <row r="153">
          <cell r="B153" t="str">
            <v>Unión sanitaria 2"</v>
          </cell>
          <cell r="C153" t="str">
            <v>UN</v>
          </cell>
          <cell r="D153">
            <v>2100</v>
          </cell>
        </row>
        <row r="154">
          <cell r="B154" t="str">
            <v>Unión sanitaria 3"</v>
          </cell>
          <cell r="C154" t="str">
            <v>UN</v>
          </cell>
          <cell r="D154">
            <v>2850</v>
          </cell>
        </row>
        <row r="155">
          <cell r="B155" t="str">
            <v>Unión sanitaria 4"</v>
          </cell>
          <cell r="C155" t="str">
            <v>UN</v>
          </cell>
          <cell r="D155">
            <v>5800</v>
          </cell>
        </row>
        <row r="156">
          <cell r="B156" t="str">
            <v>Yee sanitaria 2"</v>
          </cell>
          <cell r="C156" t="str">
            <v>UN</v>
          </cell>
          <cell r="D156">
            <v>5800</v>
          </cell>
        </row>
        <row r="157">
          <cell r="B157" t="str">
            <v>Yee sanitaria 3"</v>
          </cell>
          <cell r="C157" t="str">
            <v>UN</v>
          </cell>
          <cell r="D157">
            <v>11950</v>
          </cell>
        </row>
        <row r="158">
          <cell r="B158" t="str">
            <v>Yee sanitaria 4"</v>
          </cell>
          <cell r="C158" t="str">
            <v>UN</v>
          </cell>
          <cell r="D158">
            <v>20800</v>
          </cell>
        </row>
        <row r="159">
          <cell r="B159" t="str">
            <v>Tuberías, válvulas, compuertas, juntas y empaques.</v>
          </cell>
          <cell r="C159" t="str">
            <v>UN</v>
          </cell>
          <cell r="D159">
            <v>2500000</v>
          </cell>
        </row>
        <row r="160">
          <cell r="B160" t="str">
            <v xml:space="preserve">Productos químicos </v>
          </cell>
          <cell r="C160" t="str">
            <v>UN</v>
          </cell>
          <cell r="D160">
            <v>500000</v>
          </cell>
        </row>
        <row r="161">
          <cell r="B161" t="str">
            <v>APARATOS SANITARIOS</v>
          </cell>
        </row>
        <row r="162">
          <cell r="B162" t="str">
            <v>Divisiones en acero inoxidable</v>
          </cell>
          <cell r="C162" t="str">
            <v>m2</v>
          </cell>
          <cell r="D162">
            <v>1350000</v>
          </cell>
        </row>
        <row r="163">
          <cell r="B163" t="str">
            <v>Lavamanos</v>
          </cell>
          <cell r="C163" t="str">
            <v>UN</v>
          </cell>
          <cell r="D163">
            <v>203900</v>
          </cell>
        </row>
        <row r="164">
          <cell r="B164" t="str">
            <v>Griferia sencilla</v>
          </cell>
          <cell r="C164" t="str">
            <v>UN</v>
          </cell>
          <cell r="D164">
            <v>30500</v>
          </cell>
        </row>
        <row r="165">
          <cell r="B165" t="str">
            <v>Regulación metálica doble salida, marca corona</v>
          </cell>
          <cell r="C165" t="str">
            <v>UN</v>
          </cell>
          <cell r="D165">
            <v>71950</v>
          </cell>
        </row>
        <row r="166">
          <cell r="B166" t="str">
            <v>Sanitario</v>
          </cell>
          <cell r="C166" t="str">
            <v>UN</v>
          </cell>
          <cell r="D166">
            <v>550000</v>
          </cell>
        </row>
        <row r="167">
          <cell r="B167" t="str">
            <v>Sifón flexible metalizado, marca corona</v>
          </cell>
          <cell r="C167" t="str">
            <v>UN</v>
          </cell>
          <cell r="D167">
            <v>54000</v>
          </cell>
        </row>
        <row r="168">
          <cell r="B168" t="str">
            <v>Tanque de 2000litros</v>
          </cell>
          <cell r="C168" t="str">
            <v>UN</v>
          </cell>
          <cell r="D168">
            <v>1070900</v>
          </cell>
        </row>
        <row r="169">
          <cell r="B169" t="str">
            <v>Válvula de cheque</v>
          </cell>
          <cell r="C169" t="str">
            <v>UN</v>
          </cell>
          <cell r="D169">
            <v>64900</v>
          </cell>
        </row>
        <row r="170">
          <cell r="C170" t="str">
            <v>UN</v>
          </cell>
        </row>
        <row r="171">
          <cell r="B171" t="str">
            <v>ELECTRICO</v>
          </cell>
        </row>
        <row r="172">
          <cell r="B172" t="str">
            <v>Abrazadera 1/2" x 3/4"</v>
          </cell>
          <cell r="C172" t="str">
            <v>un</v>
          </cell>
          <cell r="D172">
            <v>3790</v>
          </cell>
        </row>
        <row r="173">
          <cell r="B173" t="str">
            <v>Alambrón de aluminio de 8 mm</v>
          </cell>
          <cell r="C173" t="str">
            <v>m</v>
          </cell>
          <cell r="D173">
            <v>5244</v>
          </cell>
        </row>
        <row r="174">
          <cell r="B174" t="str">
            <v>Aviso de bajante pararrayos</v>
          </cell>
          <cell r="C174" t="str">
            <v>UN</v>
          </cell>
          <cell r="D174">
            <v>23800</v>
          </cell>
        </row>
        <row r="175">
          <cell r="B175" t="str">
            <v>Base</v>
          </cell>
          <cell r="C175" t="str">
            <v>UN</v>
          </cell>
          <cell r="D175">
            <v>108886</v>
          </cell>
        </row>
        <row r="176">
          <cell r="B176" t="str">
            <v>Breacker 1x20A</v>
          </cell>
          <cell r="C176" t="str">
            <v>UN</v>
          </cell>
          <cell r="D176">
            <v>23937</v>
          </cell>
        </row>
        <row r="177">
          <cell r="B177" t="str">
            <v xml:space="preserve">Cable de cobre sintox 90°C 600V HF FR LS CT 120 AWG centelsa hilos fase amarillo, azul y rojo </v>
          </cell>
          <cell r="C177" t="str">
            <v>UN</v>
          </cell>
          <cell r="D177">
            <v>2850</v>
          </cell>
        </row>
        <row r="178">
          <cell r="B178" t="str">
            <v xml:space="preserve">Cable de cobre sintox 90°C 600V HF FR LS CT 12 AWG centelsa hilos fase amarillo, azul y rojo </v>
          </cell>
          <cell r="C178" t="str">
            <v>UN</v>
          </cell>
          <cell r="D178">
            <v>3050</v>
          </cell>
        </row>
        <row r="179">
          <cell r="B179" t="str">
            <v>Cable cu #1/0 Desnudo</v>
          </cell>
          <cell r="C179" t="str">
            <v>m</v>
          </cell>
          <cell r="D179">
            <v>46473</v>
          </cell>
        </row>
        <row r="180">
          <cell r="B180" t="str">
            <v xml:space="preserve">Cable encauchetado 3x12 AWG libre de halogenos </v>
          </cell>
          <cell r="C180" t="str">
            <v>m</v>
          </cell>
          <cell r="D180">
            <v>6000</v>
          </cell>
        </row>
        <row r="181">
          <cell r="B181" t="str">
            <v xml:space="preserve">Cable encauchetado 3x14 AWG libre de halogenos </v>
          </cell>
          <cell r="C181" t="str">
            <v>m</v>
          </cell>
          <cell r="D181">
            <v>9520</v>
          </cell>
        </row>
        <row r="182">
          <cell r="B182" t="str">
            <v>Caja 12 x 12 x 5cm</v>
          </cell>
          <cell r="C182" t="str">
            <v>UN</v>
          </cell>
          <cell r="D182">
            <v>19900</v>
          </cell>
        </row>
        <row r="183">
          <cell r="B183" t="str">
            <v>Chazo Estriado 1/4Pg con tornillo de ensamble</v>
          </cell>
          <cell r="C183" t="str">
            <v>UN</v>
          </cell>
          <cell r="D183">
            <v>446</v>
          </cell>
        </row>
        <row r="184">
          <cell r="B184" t="str">
            <v>Chazos y tornillos</v>
          </cell>
          <cell r="C184" t="str">
            <v>UN</v>
          </cell>
          <cell r="D184">
            <v>500</v>
          </cell>
        </row>
        <row r="185">
          <cell r="B185" t="str">
            <v>Cinta aislante super scotch 33 - 18mm x 10m</v>
          </cell>
          <cell r="C185" t="str">
            <v>UN</v>
          </cell>
          <cell r="D185">
            <v>31956</v>
          </cell>
        </row>
        <row r="186">
          <cell r="B186" t="str">
            <v>Clavija</v>
          </cell>
          <cell r="C186" t="str">
            <v>UN</v>
          </cell>
          <cell r="D186">
            <v>7809</v>
          </cell>
        </row>
        <row r="187">
          <cell r="B187" t="str">
            <v>Conectores bimetálicos Acero-Cobre</v>
          </cell>
          <cell r="C187" t="str">
            <v>UN</v>
          </cell>
          <cell r="D187">
            <v>27370</v>
          </cell>
        </row>
        <row r="188">
          <cell r="B188" t="str">
            <v>Conector de ojo para cable #12</v>
          </cell>
          <cell r="C188" t="str">
            <v>UN</v>
          </cell>
          <cell r="D188">
            <v>744</v>
          </cell>
        </row>
        <row r="189">
          <cell r="B189" t="str">
            <v>Conectores de rosca amarillo-rojo</v>
          </cell>
          <cell r="C189" t="str">
            <v>UN</v>
          </cell>
          <cell r="D189">
            <v>744</v>
          </cell>
        </row>
        <row r="190">
          <cell r="B190" t="str">
            <v>Curva EMT 3/4"</v>
          </cell>
          <cell r="C190" t="str">
            <v>UN</v>
          </cell>
          <cell r="D190">
            <v>14600</v>
          </cell>
        </row>
        <row r="191">
          <cell r="B191" t="str">
            <v xml:space="preserve">Guaya </v>
          </cell>
          <cell r="C191" t="str">
            <v>m</v>
          </cell>
          <cell r="D191">
            <v>2200</v>
          </cell>
        </row>
        <row r="192">
          <cell r="B192" t="str">
            <v>Grapa universal cruz paralela RD -10 mm</v>
          </cell>
          <cell r="C192" t="str">
            <v>UN</v>
          </cell>
          <cell r="D192">
            <v>46782</v>
          </cell>
        </row>
        <row r="193">
          <cell r="B193" t="str">
            <v>Herraje para caja 0.5x0.5m</v>
          </cell>
          <cell r="C193" t="str">
            <v>UN</v>
          </cell>
          <cell r="D193">
            <v>215375</v>
          </cell>
        </row>
        <row r="194">
          <cell r="B194" t="str">
            <v>Gabinete para medidor</v>
          </cell>
          <cell r="C194" t="str">
            <v>UN</v>
          </cell>
          <cell r="D194">
            <v>734840</v>
          </cell>
        </row>
        <row r="195">
          <cell r="B195" t="str">
            <v>LAMPARA PANEL LED DE 36W, 1,20m</v>
          </cell>
          <cell r="C195" t="str">
            <v>UN</v>
          </cell>
          <cell r="D195">
            <v>52000</v>
          </cell>
        </row>
        <row r="196">
          <cell r="B196" t="str">
            <v>Molde para soldadura</v>
          </cell>
          <cell r="C196" t="str">
            <v>UN</v>
          </cell>
          <cell r="D196">
            <v>243950</v>
          </cell>
        </row>
        <row r="197">
          <cell r="B197" t="str">
            <v>Panel Led Cuadrado 60x60 40w Luz Blanca 100-277v</v>
          </cell>
          <cell r="C197" t="str">
            <v>UN</v>
          </cell>
          <cell r="D197">
            <v>85900</v>
          </cell>
        </row>
        <row r="198">
          <cell r="B198" t="str">
            <v>Pernos</v>
          </cell>
          <cell r="C198" t="str">
            <v>UN</v>
          </cell>
          <cell r="D198">
            <v>600</v>
          </cell>
        </row>
        <row r="199">
          <cell r="B199" t="str">
            <v>Punta Captadora 5/8 X 0.60 mt Cobre-Estañado Sin Conector</v>
          </cell>
          <cell r="C199" t="str">
            <v>UN</v>
          </cell>
          <cell r="D199">
            <v>134833</v>
          </cell>
        </row>
        <row r="200">
          <cell r="B200" t="str">
            <v>Soldadura exotérmica 150g</v>
          </cell>
          <cell r="C200" t="str">
            <v>UN</v>
          </cell>
          <cell r="D200">
            <v>36066</v>
          </cell>
        </row>
        <row r="201">
          <cell r="B201" t="str">
            <v>Soporte anillo plastico 30mm RD8-10</v>
          </cell>
          <cell r="C201" t="str">
            <v>UN</v>
          </cell>
          <cell r="D201">
            <v>2529</v>
          </cell>
        </row>
        <row r="202">
          <cell r="B202" t="str">
            <v>Tablero de distribucion de 12 circuitos, 220V</v>
          </cell>
          <cell r="C202" t="str">
            <v>UN</v>
          </cell>
          <cell r="D202">
            <v>623429.71455165348</v>
          </cell>
        </row>
        <row r="203">
          <cell r="B203" t="str">
            <v>Tapa toma doble</v>
          </cell>
          <cell r="C203" t="str">
            <v>UN</v>
          </cell>
          <cell r="D203">
            <v>4760</v>
          </cell>
        </row>
        <row r="204">
          <cell r="B204" t="str">
            <v>Terminal EMT 3/4"</v>
          </cell>
          <cell r="C204" t="str">
            <v>UN</v>
          </cell>
          <cell r="D204">
            <v>1400</v>
          </cell>
        </row>
        <row r="205">
          <cell r="B205" t="str">
            <v>Toma Doble P/T Arquea Blanco</v>
          </cell>
          <cell r="C205" t="str">
            <v>UN</v>
          </cell>
          <cell r="D205">
            <v>23900</v>
          </cell>
        </row>
        <row r="206">
          <cell r="B206" t="str">
            <v>Totalizador industrial 2x60a</v>
          </cell>
          <cell r="C206" t="str">
            <v>UN</v>
          </cell>
          <cell r="D206">
            <v>72500</v>
          </cell>
        </row>
        <row r="207">
          <cell r="B207" t="str">
            <v xml:space="preserve">Tubería EMT 3/4" </v>
          </cell>
          <cell r="C207" t="str">
            <v>m</v>
          </cell>
          <cell r="D207">
            <v>8966.6666666666661</v>
          </cell>
        </row>
        <row r="208">
          <cell r="B208" t="str">
            <v>Unión EMT 3/4"</v>
          </cell>
          <cell r="C208" t="str">
            <v>UN</v>
          </cell>
          <cell r="D208">
            <v>1400</v>
          </cell>
        </row>
        <row r="209">
          <cell r="B209" t="str">
            <v>Varilla de cobre 5/8" x 2,40m</v>
          </cell>
          <cell r="C209" t="str">
            <v>un</v>
          </cell>
          <cell r="D209">
            <v>85223</v>
          </cell>
        </row>
        <row r="210">
          <cell r="B210" t="str">
            <v>URBANISMO</v>
          </cell>
        </row>
        <row r="211">
          <cell r="B211" t="str">
            <v>Grama tipo macana</v>
          </cell>
          <cell r="C211" t="str">
            <v>m2</v>
          </cell>
          <cell r="D211">
            <v>25000</v>
          </cell>
        </row>
        <row r="212">
          <cell r="B212" t="str">
            <v>Tierra abonada - Forza 4kg, medidas 40x28x20cm</v>
          </cell>
          <cell r="C212" t="str">
            <v>Bulto</v>
          </cell>
          <cell r="D212">
            <v>14900</v>
          </cell>
        </row>
        <row r="213">
          <cell r="B213" t="str">
            <v>MATERIAL DE PLAYA</v>
          </cell>
        </row>
        <row r="214">
          <cell r="B214" t="str">
            <v>Agua</v>
          </cell>
          <cell r="C214" t="str">
            <v>Litro</v>
          </cell>
          <cell r="D214">
            <v>200</v>
          </cell>
        </row>
        <row r="215">
          <cell r="B215" t="str">
            <v>Arena lavada</v>
          </cell>
          <cell r="C215" t="str">
            <v>m3</v>
          </cell>
          <cell r="D215">
            <v>200000</v>
          </cell>
        </row>
        <row r="216">
          <cell r="B216" t="str">
            <v>Arena Revoltura</v>
          </cell>
          <cell r="C216" t="str">
            <v>M3</v>
          </cell>
          <cell r="D216">
            <v>200000</v>
          </cell>
        </row>
        <row r="217">
          <cell r="B217" t="str">
            <v>Gravilla - revoltura</v>
          </cell>
          <cell r="C217" t="str">
            <v>m3</v>
          </cell>
          <cell r="D217">
            <v>80000</v>
          </cell>
        </row>
        <row r="218">
          <cell r="B218" t="str">
            <v>Material filtrante</v>
          </cell>
          <cell r="C218" t="str">
            <v>m3</v>
          </cell>
          <cell r="D218">
            <v>150000</v>
          </cell>
        </row>
        <row r="219">
          <cell r="B219" t="str">
            <v>Material seleccionado</v>
          </cell>
          <cell r="C219" t="str">
            <v>m3</v>
          </cell>
          <cell r="D219">
            <v>60000</v>
          </cell>
        </row>
        <row r="220">
          <cell r="B220" t="str">
            <v>Triturado 3/4"</v>
          </cell>
          <cell r="C220" t="str">
            <v>m3</v>
          </cell>
          <cell r="D220">
            <v>200000</v>
          </cell>
        </row>
        <row r="221">
          <cell r="B221" t="str">
            <v>Excavacion</v>
          </cell>
          <cell r="C221" t="str">
            <v>M3</v>
          </cell>
          <cell r="D221">
            <v>62600</v>
          </cell>
        </row>
        <row r="222">
          <cell r="B222" t="str">
            <v>Formaleta en madera común</v>
          </cell>
          <cell r="C222" t="str">
            <v>M2</v>
          </cell>
          <cell r="D222">
            <v>38400</v>
          </cell>
        </row>
        <row r="223">
          <cell r="B223" t="str">
            <v>Valla Informativa</v>
          </cell>
          <cell r="C223" t="str">
            <v>Unidad</v>
          </cell>
          <cell r="D223">
            <v>855600</v>
          </cell>
        </row>
        <row r="226">
          <cell r="B226" t="str">
            <v>COSTO DE MAQUINARIA Y EQUIPOS</v>
          </cell>
        </row>
        <row r="227">
          <cell r="B227" t="str">
            <v>Material</v>
          </cell>
          <cell r="C227" t="str">
            <v>Und</v>
          </cell>
          <cell r="D227" t="str">
            <v>VALOR</v>
          </cell>
        </row>
        <row r="228">
          <cell r="B228" t="str">
            <v>ANDAMIO 2 CUERPOS</v>
          </cell>
          <cell r="C228" t="str">
            <v>DIA</v>
          </cell>
          <cell r="D228">
            <v>3500</v>
          </cell>
        </row>
        <row r="229">
          <cell r="B229" t="str">
            <v>ANDAMIO 4 CUERPOS</v>
          </cell>
          <cell r="C229" t="str">
            <v>DIA</v>
          </cell>
          <cell r="D229">
            <v>14000</v>
          </cell>
        </row>
        <row r="230">
          <cell r="B230" t="str">
            <v xml:space="preserve">BOMBA DE PRUEBA HIDROSTATICA </v>
          </cell>
          <cell r="C230" t="str">
            <v>DIA</v>
          </cell>
          <cell r="D230">
            <v>20000</v>
          </cell>
        </row>
        <row r="231">
          <cell r="B231" t="str">
            <v>BOMBA ELÉCTRICA SUMERGIBLE 2"-10 M. PROF. INCLUYE MANGUERA FLEXIBLE 2"-10</v>
          </cell>
          <cell r="C231" t="str">
            <v>DIA</v>
          </cell>
          <cell r="D231">
            <v>50000</v>
          </cell>
        </row>
        <row r="232">
          <cell r="B232" t="str">
            <v>CANGURO</v>
          </cell>
          <cell r="C232" t="str">
            <v>DIA</v>
          </cell>
          <cell r="D232">
            <v>120000</v>
          </cell>
        </row>
        <row r="233">
          <cell r="B233" t="str">
            <v>CERCHA METALICA</v>
          </cell>
          <cell r="C233" t="str">
            <v>DIA</v>
          </cell>
          <cell r="D233">
            <v>300</v>
          </cell>
        </row>
        <row r="234">
          <cell r="B234" t="str">
            <v>CIZALLA</v>
          </cell>
          <cell r="C234" t="str">
            <v>DIA</v>
          </cell>
          <cell r="D234">
            <v>15000</v>
          </cell>
        </row>
        <row r="235">
          <cell r="B235" t="str">
            <v xml:space="preserve">COMPRESOR </v>
          </cell>
          <cell r="C235" t="str">
            <v>DIA</v>
          </cell>
          <cell r="D235">
            <v>80000</v>
          </cell>
        </row>
        <row r="236">
          <cell r="B236" t="str">
            <v>CONCRETADORA A GASOLINA</v>
          </cell>
          <cell r="C236" t="str">
            <v>DIA</v>
          </cell>
          <cell r="D236">
            <v>80000</v>
          </cell>
        </row>
        <row r="237">
          <cell r="B237" t="str">
            <v>CORTADORA DE BOLDOSA</v>
          </cell>
          <cell r="C237" t="str">
            <v>DIA</v>
          </cell>
          <cell r="D237">
            <v>45000</v>
          </cell>
        </row>
        <row r="238">
          <cell r="B238" t="str">
            <v>EQUIPO DE SOLDADURA</v>
          </cell>
          <cell r="C238" t="str">
            <v xml:space="preserve">DIA </v>
          </cell>
          <cell r="D238">
            <v>150000</v>
          </cell>
        </row>
        <row r="239">
          <cell r="B239" t="str">
            <v>EQUIPO DE OXICORTE</v>
          </cell>
          <cell r="C239" t="str">
            <v xml:space="preserve">DIA </v>
          </cell>
          <cell r="D239">
            <v>29851</v>
          </cell>
        </row>
        <row r="240">
          <cell r="B240" t="str">
            <v>ESCALERA DE TIJERA</v>
          </cell>
          <cell r="C240" t="str">
            <v>DIA</v>
          </cell>
          <cell r="D240">
            <v>12000</v>
          </cell>
        </row>
        <row r="241">
          <cell r="B241" t="str">
            <v xml:space="preserve">ESTACION TOTAL </v>
          </cell>
          <cell r="C241" t="str">
            <v>DIA</v>
          </cell>
          <cell r="D241">
            <v>180088</v>
          </cell>
        </row>
        <row r="242">
          <cell r="B242" t="str">
            <v>GUADAÑA</v>
          </cell>
          <cell r="C242" t="str">
            <v>DIA</v>
          </cell>
          <cell r="D242">
            <v>60000</v>
          </cell>
        </row>
        <row r="243">
          <cell r="B243" t="str">
            <v>MOTOBOMBA SUMERGIBLE</v>
          </cell>
          <cell r="C243" t="str">
            <v>DIA</v>
          </cell>
          <cell r="D243">
            <v>50000</v>
          </cell>
        </row>
        <row r="244">
          <cell r="B244" t="str">
            <v xml:space="preserve">NIVEL DE PRECISION </v>
          </cell>
          <cell r="C244" t="str">
            <v>DIA</v>
          </cell>
          <cell r="D244">
            <v>121458</v>
          </cell>
        </row>
        <row r="245">
          <cell r="B245" t="str">
            <v>PAJARITA</v>
          </cell>
          <cell r="C245" t="str">
            <v xml:space="preserve">HORA </v>
          </cell>
          <cell r="D245">
            <v>150000</v>
          </cell>
        </row>
        <row r="246">
          <cell r="B246" t="str">
            <v>PONCHADORA HIDRAULICO</v>
          </cell>
          <cell r="C246" t="str">
            <v>DIA</v>
          </cell>
          <cell r="D246">
            <v>25000</v>
          </cell>
        </row>
        <row r="247">
          <cell r="B247" t="str">
            <v xml:space="preserve">PLANTA ELECTRICA </v>
          </cell>
          <cell r="C247" t="str">
            <v>DIA</v>
          </cell>
          <cell r="D247">
            <v>113229</v>
          </cell>
        </row>
        <row r="248">
          <cell r="B248" t="str">
            <v xml:space="preserve">PULIDORA </v>
          </cell>
          <cell r="C248" t="str">
            <v>DIA</v>
          </cell>
          <cell r="D248">
            <v>32500</v>
          </cell>
        </row>
        <row r="249">
          <cell r="B249" t="str">
            <v>SIERRA CIRCULAR</v>
          </cell>
          <cell r="C249" t="str">
            <v>DIA</v>
          </cell>
          <cell r="D249">
            <v>18000</v>
          </cell>
        </row>
        <row r="250">
          <cell r="B250" t="str">
            <v>TACO METALICO hasta 3,8m</v>
          </cell>
          <cell r="C250" t="str">
            <v>DIA</v>
          </cell>
          <cell r="D250">
            <v>350</v>
          </cell>
        </row>
        <row r="251">
          <cell r="B251" t="str">
            <v xml:space="preserve">TALADRO </v>
          </cell>
          <cell r="C251" t="str">
            <v>DIA</v>
          </cell>
          <cell r="D251">
            <v>50000</v>
          </cell>
        </row>
        <row r="252">
          <cell r="B252" t="str">
            <v xml:space="preserve">TALADRO DEMOLEDOR </v>
          </cell>
          <cell r="C252" t="str">
            <v>DIA</v>
          </cell>
          <cell r="D252">
            <v>180000</v>
          </cell>
        </row>
        <row r="253">
          <cell r="B253" t="str">
            <v>TALADRO PERCUTOR</v>
          </cell>
          <cell r="C253" t="str">
            <v>DIA</v>
          </cell>
          <cell r="D253">
            <v>80000</v>
          </cell>
        </row>
        <row r="254">
          <cell r="B254" t="str">
            <v>VIBRADOR PARA CONCRETO</v>
          </cell>
          <cell r="C254" t="str">
            <v>DIA</v>
          </cell>
          <cell r="D254">
            <v>53042</v>
          </cell>
        </row>
        <row r="255">
          <cell r="B255" t="str">
            <v xml:space="preserve">RETRO EXCAVADORA </v>
          </cell>
          <cell r="C255" t="str">
            <v>DIA</v>
          </cell>
          <cell r="D255">
            <v>3500000</v>
          </cell>
        </row>
        <row r="256">
          <cell r="B256" t="str">
            <v>EXCAVACION</v>
          </cell>
          <cell r="C256" t="str">
            <v>M3</v>
          </cell>
          <cell r="D256">
            <v>67600</v>
          </cell>
        </row>
        <row r="257">
          <cell r="B257" t="str">
            <v>FORMALETA EN MADERA COMUN</v>
          </cell>
          <cell r="C257" t="str">
            <v>M2</v>
          </cell>
          <cell r="D257">
            <v>55400</v>
          </cell>
        </row>
        <row r="260">
          <cell r="B260" t="str">
            <v>TRNASPORTE</v>
          </cell>
        </row>
        <row r="261">
          <cell r="B261" t="str">
            <v>TRANSPORTE</v>
          </cell>
          <cell r="C261" t="str">
            <v>Und</v>
          </cell>
          <cell r="D261" t="str">
            <v>VALOR</v>
          </cell>
          <cell r="E261" t="str">
            <v>DISTANCIA</v>
          </cell>
        </row>
        <row r="262">
          <cell r="B262" t="str">
            <v>TRANSPORTE DESDE QUIBDO</v>
          </cell>
          <cell r="C262" t="str">
            <v>m3/km</v>
          </cell>
          <cell r="D262">
            <v>1275</v>
          </cell>
          <cell r="E262">
            <v>84.8</v>
          </cell>
        </row>
        <row r="263">
          <cell r="B263" t="str">
            <v>TRANSPORTE DISPOSICION DE MATERIAL SOBRANTE</v>
          </cell>
          <cell r="C263" t="str">
            <v>M3</v>
          </cell>
          <cell r="D263">
            <v>3000</v>
          </cell>
          <cell r="E263">
            <v>5</v>
          </cell>
        </row>
        <row r="264">
          <cell r="B264" t="str">
            <v>TRANSPORTE INTERNO</v>
          </cell>
          <cell r="C264" t="str">
            <v>M3</v>
          </cell>
          <cell r="D264">
            <v>15000</v>
          </cell>
          <cell r="E264">
            <v>3</v>
          </cell>
        </row>
        <row r="265">
          <cell r="B265" t="str">
            <v xml:space="preserve">TRANSPORTE MATERIAL DE PLAYA </v>
          </cell>
          <cell r="C265" t="str">
            <v>M3</v>
          </cell>
          <cell r="D265">
            <v>10000</v>
          </cell>
          <cell r="E265">
            <v>5</v>
          </cell>
        </row>
        <row r="266">
          <cell r="B266" t="str">
            <v>TRANSPORTE DESDE ISTMINA</v>
          </cell>
          <cell r="C266" t="str">
            <v>m3/km</v>
          </cell>
          <cell r="D266">
            <v>8681</v>
          </cell>
          <cell r="E266">
            <v>9.6</v>
          </cell>
        </row>
        <row r="267">
          <cell r="B267" t="str">
            <v>TRANSPORTE DESDE MEDELLIN</v>
          </cell>
          <cell r="C267" t="str">
            <v>m3/km</v>
          </cell>
          <cell r="D267">
            <v>1799</v>
          </cell>
          <cell r="E267">
            <v>413.59999999999997</v>
          </cell>
        </row>
      </sheetData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RESUPUESTO"/>
      <sheetName val="CANT"/>
      <sheetName val="APU"/>
      <sheetName val="PRECIOS"/>
      <sheetName val="A. AUXILIAR"/>
      <sheetName val="SALARIOS Y PRESTACIONES"/>
      <sheetName val="CUADRILLAS"/>
      <sheetName val="ADM OBRA"/>
      <sheetName val="INTERVENTORÍA"/>
      <sheetName val="CRONO Y FLUJO"/>
    </sheetNames>
    <sheetDataSet>
      <sheetData sheetId="0"/>
      <sheetData sheetId="1"/>
      <sheetData sheetId="2"/>
      <sheetData sheetId="3"/>
      <sheetData sheetId="4"/>
      <sheetData sheetId="5">
        <row r="49">
          <cell r="E49">
            <v>0.72466368340871401</v>
          </cell>
          <cell r="G49">
            <v>0.67528776322824069</v>
          </cell>
          <cell r="I49">
            <v>0.65197965128350721</v>
          </cell>
          <cell r="K49">
            <v>0.58210086280158058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RESUPUESTO"/>
      <sheetName val="CANT"/>
      <sheetName val="APU"/>
      <sheetName val="MATERIALES"/>
      <sheetName val="APU AUX"/>
    </sheetNames>
    <sheetDataSet>
      <sheetData sheetId="0">
        <row r="1">
          <cell r="B1" t="str">
            <v>CONSTRUCCION DE 14 METROS BOX CULVERT EN EL SECTOR BARRIO NUEVO DE SANTA RITA, CABECERA MUNICIPAL DE RIO IRÓ - DEPARTAMENTO DEL CHOCÓ</v>
          </cell>
        </row>
        <row r="2">
          <cell r="B2" t="str">
            <v>Ítem</v>
          </cell>
          <cell r="C2" t="str">
            <v>Descripción</v>
          </cell>
          <cell r="D2" t="str">
            <v>Unidad</v>
          </cell>
        </row>
        <row r="3">
          <cell r="B3"/>
          <cell r="C3"/>
          <cell r="D3"/>
        </row>
        <row r="4">
          <cell r="B4">
            <v>1</v>
          </cell>
          <cell r="C4" t="str">
            <v>OBRAS PRELIMINARES</v>
          </cell>
          <cell r="D4"/>
        </row>
        <row r="5">
          <cell r="B5">
            <v>1.01</v>
          </cell>
          <cell r="C5" t="str">
            <v>Localizacion, trazado y replanteo</v>
          </cell>
          <cell r="D5" t="str">
            <v>m2</v>
          </cell>
          <cell r="E5">
            <v>22.4</v>
          </cell>
        </row>
        <row r="6">
          <cell r="B6">
            <v>1.02</v>
          </cell>
          <cell r="C6" t="str">
            <v>Suministro e  instalación de CERRAMIENTO PROVISIONAL en tela verde con una  altura 2.1 m, clavos y estructura con estacones en palo redondo y varetas 1"x2"  en madera común cada 2m</v>
          </cell>
          <cell r="D6" t="str">
            <v>m2</v>
          </cell>
        </row>
        <row r="7">
          <cell r="B7">
            <v>1.03</v>
          </cell>
          <cell r="C7" t="str">
            <v>Manejo y Control de Aguas, Incluye desvio, union y canalizacion de quebradas circundantes al lugar donde se desarrolla el Proyecto</v>
          </cell>
          <cell r="D7" t="str">
            <v>UN</v>
          </cell>
        </row>
        <row r="8">
          <cell r="B8"/>
          <cell r="C8"/>
          <cell r="D8"/>
        </row>
        <row r="9">
          <cell r="B9">
            <v>2</v>
          </cell>
          <cell r="C9" t="str">
            <v>ESTRUCTURA EN CONCRETO</v>
          </cell>
          <cell r="D9"/>
        </row>
        <row r="10">
          <cell r="B10">
            <v>2.0099999999999998</v>
          </cell>
          <cell r="C10" t="str">
            <v>EXCAVACIÓN MANUAL de material heterogéneo DE 0-2 m., bajo cualquier grado de humedad. Incluye: roca descompuesta, bolas de roca de volumen inferior a 0.35 m³., el cargue, transporte interno y externo, botada de material proveniente de las excavaciones en los sitios donde lo indique la interventoría y su medida será en el sitio. No incluye entibado.</v>
          </cell>
          <cell r="D10" t="str">
            <v>m3</v>
          </cell>
        </row>
        <row r="11">
          <cell r="B11">
            <v>2.02</v>
          </cell>
          <cell r="C11" t="str">
            <v>LLENO CON MATERIAL SELECCIONADO, compactados mecánicamente hasta obtener una densidad adeecuada. Incluye transporte del material. Su medida será en sitio ya compactado.</v>
          </cell>
          <cell r="D11" t="str">
            <v>m3</v>
          </cell>
        </row>
        <row r="12">
          <cell r="B12">
            <v>2.0299999999999998</v>
          </cell>
          <cell r="C12" t="str">
            <v>Colocación de concreto de 14 MPa para SOLADO. Incluye el suministro y el transporte del concreto y todos los demás elementos necesarios para su correcta construcción, incluye acarreo interno.</v>
          </cell>
          <cell r="D12" t="str">
            <v>m2</v>
          </cell>
        </row>
        <row r="13">
          <cell r="B13">
            <v>2.04</v>
          </cell>
          <cell r="C13" t="str">
            <v>Construcción de LOSA CONTRAPISO  en concreto de 21MPa de E=0,20m,  Incluye suministro, transporte y colocación del concreto, mano de obra, formaleta completa, vibrado, protección, curado  y todos los demás elementos necesario para su correcta construcción.  No incluye acero de refuerzo</v>
          </cell>
          <cell r="D13" t="str">
            <v>m3</v>
          </cell>
        </row>
        <row r="14">
          <cell r="B14">
            <v>2.0499999999999998</v>
          </cell>
          <cell r="C14" t="str">
            <v>Construcción de PARED  en concreto de 21MPa de E=0,20m,  Incluye suministro, transporte y colocación del concreto, mano de obra, formaleta completa, vibrado, protección, curado  y todos los demás elementos necesario para su correcta construcción.  No incluye acero de refuerzo</v>
          </cell>
          <cell r="D14" t="str">
            <v>m3</v>
          </cell>
        </row>
        <row r="15">
          <cell r="B15">
            <v>2.06</v>
          </cell>
          <cell r="C15" t="str">
            <v>Construcción de LOSA AEREA  en concreto de 21MPa de E=0,20m,  Incluye suministro, transporte y colocación del concreto, mano de obra, formaleta completa, vibrado, protección, curado  y todos los demás elementos necesario para su correcta construcción.  No incluye acero de refuerzo</v>
          </cell>
          <cell r="D15" t="str">
            <v>m3</v>
          </cell>
        </row>
        <row r="16">
          <cell r="B16">
            <v>2.0699999999999998</v>
          </cell>
          <cell r="C16" t="str">
            <v>Suministro, transporte e instalación de ACERO DE REFUERZO FIGURADO FY= 420 Mpa-60000 PSI, corrugado. Incluye transporte con descarga, transporte interno, alambre de amarre, certificados y todos los elementos necesarios para su correcta instalación, según diseño y recomendaciones.</v>
          </cell>
          <cell r="D16" t="str">
            <v>Kg</v>
          </cell>
        </row>
        <row r="17">
          <cell r="B17"/>
          <cell r="C17"/>
          <cell r="D17"/>
        </row>
        <row r="18">
          <cell r="B18">
            <v>3</v>
          </cell>
          <cell r="C18" t="str">
            <v>LIMPIEZA GENERAL</v>
          </cell>
          <cell r="D18"/>
        </row>
        <row r="19">
          <cell r="B19">
            <v>3.01</v>
          </cell>
          <cell r="C19" t="str">
            <v xml:space="preserve">Limpieza general,  retiro y disposicion de material sobrante </v>
          </cell>
          <cell r="D19" t="str">
            <v>Global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D18A7-0FF8-4B8B-956D-986450A62001}">
  <dimension ref="A1:K47"/>
  <sheetViews>
    <sheetView tabSelected="1" view="pageBreakPreview" zoomScale="72" zoomScaleNormal="72" zoomScaleSheetLayoutView="72" workbookViewId="0">
      <selection activeCell="J18" sqref="J18"/>
    </sheetView>
  </sheetViews>
  <sheetFormatPr baseColWidth="10" defaultColWidth="11.42578125" defaultRowHeight="15.75" x14ac:dyDescent="0.25"/>
  <cols>
    <col min="1" max="1" width="1.140625" style="1" customWidth="1"/>
    <col min="2" max="2" width="6.28515625" style="2" customWidth="1"/>
    <col min="3" max="3" width="66.28515625" style="3" customWidth="1"/>
    <col min="4" max="4" width="10.42578125" style="2" customWidth="1"/>
    <col min="5" max="5" width="10.85546875" style="4" customWidth="1"/>
    <col min="6" max="6" width="15" style="5" customWidth="1"/>
    <col min="7" max="7" width="17.140625" style="6" customWidth="1"/>
    <col min="8" max="8" width="2.5703125" style="7" customWidth="1"/>
    <col min="9" max="9" width="21.42578125" style="6" customWidth="1"/>
    <col min="10" max="10" width="28.85546875" style="1" customWidth="1"/>
    <col min="11" max="11" width="17.42578125" style="1" bestFit="1" customWidth="1"/>
    <col min="12" max="12" width="11.42578125" style="1"/>
    <col min="13" max="13" width="14.85546875" style="1" bestFit="1" customWidth="1"/>
    <col min="14" max="20" width="11.42578125" style="1"/>
    <col min="21" max="21" width="13.42578125" style="1" bestFit="1" customWidth="1"/>
    <col min="22" max="16384" width="11.42578125" style="1"/>
  </cols>
  <sheetData>
    <row r="1" spans="1:11" ht="9.75" customHeight="1" thickBot="1" x14ac:dyDescent="0.3"/>
    <row r="2" spans="1:11" ht="59.1" customHeight="1" thickBot="1" x14ac:dyDescent="0.3">
      <c r="A2" s="8"/>
      <c r="B2" s="403" t="s">
        <v>0</v>
      </c>
      <c r="C2" s="404"/>
      <c r="D2" s="404"/>
      <c r="E2" s="404"/>
      <c r="F2" s="404"/>
      <c r="G2" s="405"/>
      <c r="H2" s="9"/>
      <c r="I2" s="10"/>
    </row>
    <row r="3" spans="1:11" s="2" customFormat="1" ht="25.5" customHeight="1" thickBot="1" x14ac:dyDescent="0.3">
      <c r="A3" s="11"/>
      <c r="B3" s="12" t="s">
        <v>1</v>
      </c>
      <c r="C3" s="13" t="s">
        <v>2</v>
      </c>
      <c r="D3" s="14" t="s">
        <v>3</v>
      </c>
      <c r="E3" s="15" t="s">
        <v>4</v>
      </c>
      <c r="F3" s="16" t="s">
        <v>5</v>
      </c>
      <c r="G3" s="17" t="s">
        <v>6</v>
      </c>
      <c r="H3" s="18"/>
      <c r="I3" s="19" t="s">
        <v>7</v>
      </c>
      <c r="J3" s="20"/>
    </row>
    <row r="4" spans="1:11" ht="20.25" customHeight="1" x14ac:dyDescent="0.25">
      <c r="A4" s="8"/>
      <c r="B4" s="21">
        <v>1</v>
      </c>
      <c r="C4" s="22" t="str">
        <f>+LOOKUP(B4,[46]CANT!$A$8:$A$270,[46]CANT!$B$8:$B$270)</f>
        <v>OBRAS PRELIMINARES</v>
      </c>
      <c r="D4" s="23"/>
      <c r="E4" s="24"/>
      <c r="F4" s="24"/>
      <c r="G4" s="25">
        <f>SUM(G5:G6)</f>
        <v>39171864</v>
      </c>
      <c r="H4" s="26"/>
      <c r="I4" s="27">
        <f>SUM(G5:G6)</f>
        <v>39171864</v>
      </c>
    </row>
    <row r="5" spans="1:11" s="28" customFormat="1" x14ac:dyDescent="0.25">
      <c r="B5" s="29">
        <v>1.01</v>
      </c>
      <c r="C5" s="30" t="str">
        <f>+LOOKUP(B5,[46]CANT!$A$8:$A$270,[46]CANT!$B$8:$B$270)</f>
        <v>Localizacion, Trazado y replanteo</v>
      </c>
      <c r="D5" s="31" t="str">
        <f>+LOOKUP(B5,[46]CANT!$A$8:$A$270,[46]CANT!$D$8:$D$270)</f>
        <v>m2</v>
      </c>
      <c r="E5" s="32">
        <f>+LOOKUP(B5,[46]CANT!$A$8:$A$270,[46]CANT!$P$8:$P$270)</f>
        <v>1500</v>
      </c>
      <c r="F5" s="33">
        <f>+IFERROR((VLOOKUP(B5,[46]APU!$A$3:$J$942,10,FALSE)),"")</f>
        <v>5648</v>
      </c>
      <c r="G5" s="34">
        <f>IFERROR((ROUND(E5*F5,0)),"")</f>
        <v>8472000</v>
      </c>
      <c r="H5" s="35"/>
      <c r="I5" s="36"/>
      <c r="J5" s="37"/>
    </row>
    <row r="6" spans="1:11" ht="30.6" customHeight="1" x14ac:dyDescent="0.25">
      <c r="A6" s="8"/>
      <c r="B6" s="38">
        <v>1.02</v>
      </c>
      <c r="C6" s="30" t="str">
        <f>+LOOKUP(B6,[46]CANT!$A$8:$A$270,[46]CANT!$B$8:$B$270)</f>
        <v>Descapote y limpieza del terreno donde se desarrolla el proyecto. Incluye transporte y disposición final de los materiales.</v>
      </c>
      <c r="D6" s="31" t="str">
        <f>+LOOKUP(B6,[46]CANT!$A$8:$A$270,[46]CANT!$D$8:$D$270)</f>
        <v>m2</v>
      </c>
      <c r="E6" s="32">
        <f>+LOOKUP(B6,[46]CANT!$A$8:$A$270,[46]CANT!$P$8:$P$270)</f>
        <v>936</v>
      </c>
      <c r="F6" s="33">
        <f>+IFERROR((VLOOKUP(B6,[46]APU!$A$3:$J$942,10,FALSE)),"")</f>
        <v>32799</v>
      </c>
      <c r="G6" s="34">
        <f>IFERROR((ROUND(E6*F6,0)),"")</f>
        <v>30699864</v>
      </c>
      <c r="H6" s="39"/>
      <c r="I6" s="40"/>
      <c r="J6" s="6"/>
    </row>
    <row r="7" spans="1:11" x14ac:dyDescent="0.25">
      <c r="A7" s="8"/>
      <c r="B7" s="21">
        <v>2</v>
      </c>
      <c r="C7" s="22" t="str">
        <f>+LOOKUP(B7,[46]CANT!$A$8:$A$270,[46]CANT!$B$8:$B$270)</f>
        <v>EXCAVACION Y LLENOS</v>
      </c>
      <c r="D7" s="41"/>
      <c r="E7" s="42"/>
      <c r="F7" s="43"/>
      <c r="G7" s="25">
        <f>SUM(G8:G9)</f>
        <v>267667733</v>
      </c>
      <c r="H7" s="26"/>
      <c r="I7" s="44">
        <f>SUM(G8:G9)</f>
        <v>267667733</v>
      </c>
    </row>
    <row r="8" spans="1:11" s="8" customFormat="1" ht="79.5" customHeight="1" x14ac:dyDescent="0.25">
      <c r="B8" s="38">
        <v>2.0099999999999998</v>
      </c>
      <c r="C8" s="30" t="str">
        <f>+LOOKUP(B8,[46]CANT!$A$8:$A$270,[46]CANT!$B$8:$B$270)</f>
        <v>EXCAVACIÓN DE MATERIAL HETEROGENEO DE 0-3 m., con material seco. Incluye: roca descompuesta, bolas de roca de volumen inferior a 0.35 m³., el cargue, transporte interno y externo, botada de material proveniente de las excavaciones en los sitios donde lo indique la interventoría y su medida será en el sitio. No incluye entibado.</v>
      </c>
      <c r="D8" s="31" t="str">
        <f>+LOOKUP(B8,[46]CANT!$A$8:$A$270,[46]CANT!$D$8:$D$270)</f>
        <v>m3</v>
      </c>
      <c r="E8" s="32">
        <f>+LOOKUP(B8,[46]CANT!$A$8:$A$270,[46]CANT!$P$8:$P$270)</f>
        <v>3750</v>
      </c>
      <c r="F8" s="33">
        <f>+IFERROR((VLOOKUP(B8,[46]APU!$A$3:$J$942,10,FALSE)),"")</f>
        <v>67164</v>
      </c>
      <c r="G8" s="34">
        <f>IFERROR((ROUND(E8*F8,0)),"")</f>
        <v>251865000</v>
      </c>
      <c r="H8" s="39"/>
      <c r="I8" s="40"/>
      <c r="J8" s="6"/>
      <c r="K8" s="45"/>
    </row>
    <row r="9" spans="1:11" s="8" customFormat="1" ht="48.95" customHeight="1" x14ac:dyDescent="0.25">
      <c r="B9" s="38">
        <v>2.02</v>
      </c>
      <c r="C9" s="30" t="str">
        <f>+LOOKUP(B9,[46]CANT!$A$8:$A$270,[46]CANT!$B$8:$B$270)</f>
        <v>LLENO CON MATERIAL SELECCIONADO, compactado mecánicamente hasta obtener una densidad optima. Incluye transporte del material. Su medida será en sitio ya compactado.</v>
      </c>
      <c r="D9" s="31" t="str">
        <f>+LOOKUP(B9,[46]CANT!$A$8:$A$270,[46]CANT!$D$8:$D$270)</f>
        <v>m3</v>
      </c>
      <c r="E9" s="32">
        <f>+LOOKUP(B9,[46]CANT!$A$8:$A$270,[46]CANT!$P$8:$P$270)</f>
        <v>172.8</v>
      </c>
      <c r="F9" s="33">
        <f>+IFERROR((VLOOKUP(B9,[46]APU!$A$3:$J$942,10,FALSE)),"")</f>
        <v>91451</v>
      </c>
      <c r="G9" s="34">
        <f>IFERROR((ROUND(E9*F9,0)),"")</f>
        <v>15802733</v>
      </c>
      <c r="H9" s="39"/>
      <c r="I9" s="40"/>
      <c r="J9" s="6"/>
      <c r="K9" s="45"/>
    </row>
    <row r="10" spans="1:11" x14ac:dyDescent="0.25">
      <c r="A10" s="8"/>
      <c r="B10" s="21">
        <v>3</v>
      </c>
      <c r="C10" s="22" t="str">
        <f>+LOOKUP(B10,[46]CANT!$A$8:$A$270,[46]CANT!$B$8:$B$270)</f>
        <v xml:space="preserve">CONSTRUCCION DE FILTROS HORIZONTALES </v>
      </c>
      <c r="D10" s="23"/>
      <c r="E10" s="42"/>
      <c r="F10" s="43"/>
      <c r="G10" s="25">
        <f>SUM(G11:G13)</f>
        <v>7805705</v>
      </c>
      <c r="H10" s="26"/>
      <c r="I10" s="44">
        <f>SUM(G11:G13)</f>
        <v>7805705</v>
      </c>
    </row>
    <row r="11" spans="1:11" x14ac:dyDescent="0.25">
      <c r="A11" s="8"/>
      <c r="B11" s="38">
        <v>3.01</v>
      </c>
      <c r="C11" s="30" t="str">
        <f>+LOOKUP(B11,[46]CANT!$A$8:$A$270,[46]CANT!$B$8:$B$270)</f>
        <v xml:space="preserve">Construccion de filtros horizontales para el manejo y control de lixiviados </v>
      </c>
      <c r="D11" s="31" t="str">
        <f>+LOOKUP(B11,[46]CANT!$A$8:$A$270,[46]CANT!$D$8:$D$270)</f>
        <v>m</v>
      </c>
      <c r="E11" s="32">
        <f>+LOOKUP(B11,[46]CANT!$A$8:$A$270,[46]CANT!$P$8:$P$270)</f>
        <v>112</v>
      </c>
      <c r="F11" s="33">
        <f>+IFERROR((VLOOKUP(B11,[46]APU!$A$3:$J$942,10,FALSE)),"")</f>
        <v>30789</v>
      </c>
      <c r="G11" s="34">
        <f>IFERROR((ROUND(E11*F11,0)),"")</f>
        <v>3448368</v>
      </c>
      <c r="H11" s="26"/>
      <c r="I11" s="46"/>
      <c r="J11" s="6"/>
    </row>
    <row r="12" spans="1:11" x14ac:dyDescent="0.25">
      <c r="A12" s="8"/>
      <c r="B12" s="38">
        <v>3.02</v>
      </c>
      <c r="C12" s="30" t="str">
        <f>+LOOKUP(B12,[46]CANT!$A$8:$A$270,[46]CANT!$B$8:$B$270)</f>
        <v>Excavación en material común para zanjas y filtros de 0 a 2.00 mts.</v>
      </c>
      <c r="D12" s="31" t="str">
        <f>+LOOKUP(B12,[46]CANT!$A$8:$A$270,[46]CANT!$D$8:$D$270)</f>
        <v xml:space="preserve">m3 </v>
      </c>
      <c r="E12" s="32">
        <f>+LOOKUP(B12,[46]CANT!$A$8:$A$270,[46]CANT!$P$8:$P$270)</f>
        <v>17.920000000000002</v>
      </c>
      <c r="F12" s="33">
        <f>+IFERROR((VLOOKUP(B12,[46]APU!$A$3:$J$942,10,FALSE)),"")</f>
        <v>60611</v>
      </c>
      <c r="G12" s="34">
        <f>IFERROR((ROUND(E12*F12,0)),"")</f>
        <v>1086149</v>
      </c>
      <c r="H12" s="26"/>
      <c r="I12" s="46"/>
      <c r="J12" s="6"/>
    </row>
    <row r="13" spans="1:11" ht="32.65" customHeight="1" x14ac:dyDescent="0.25">
      <c r="B13" s="29">
        <v>3.03</v>
      </c>
      <c r="C13" s="30" t="str">
        <f>+LOOKUP(B13,[46]CANT!$A$8:$A$270,[46]CANT!$B$8:$B$270)</f>
        <v>Suministro, transporte y colocación de material friltrante (gravilla seleccionada de 4 a 6")</v>
      </c>
      <c r="D13" s="31" t="str">
        <f>+LOOKUP(B13,[46]CANT!$A$8:$A$270,[46]CANT!$D$8:$D$270)</f>
        <v>m3</v>
      </c>
      <c r="E13" s="32">
        <f>+LOOKUP(B13,[46]CANT!$A$8:$A$270,[46]CANT!$P$8:$P$270)</f>
        <v>17.920000000000002</v>
      </c>
      <c r="F13" s="33">
        <f>+IFERROR((VLOOKUP(B13,[46]APU!$A$3:$J$942,10,FALSE)),"")</f>
        <v>182544</v>
      </c>
      <c r="G13" s="34">
        <f>IFERROR((ROUND(E13*F13,0)),"")</f>
        <v>3271188</v>
      </c>
      <c r="H13" s="47"/>
      <c r="I13" s="48"/>
      <c r="J13" s="6"/>
    </row>
    <row r="14" spans="1:11" x14ac:dyDescent="0.25">
      <c r="A14" s="8"/>
      <c r="B14" s="21">
        <v>4</v>
      </c>
      <c r="C14" s="22" t="str">
        <f>+LOOKUP(B14,[46]CANT!$A$8:$A$270,[46]CANT!$B$8:$B$270)</f>
        <v xml:space="preserve">CONSTRUCCION DE FILTROS VERTICALES </v>
      </c>
      <c r="D14" s="41"/>
      <c r="E14" s="42"/>
      <c r="F14" s="43"/>
      <c r="G14" s="25">
        <f>SUM(G15:G15)</f>
        <v>2768796</v>
      </c>
      <c r="H14" s="26"/>
      <c r="I14" s="44">
        <f>SUM(G15:G15)</f>
        <v>2768796</v>
      </c>
    </row>
    <row r="15" spans="1:11" s="8" customFormat="1" ht="51" customHeight="1" x14ac:dyDescent="0.25">
      <c r="B15" s="38">
        <v>4.01</v>
      </c>
      <c r="C15" s="30" t="str">
        <f>+LOOKUP(B15,[46]CANT!$A$8:$A$270,[46]CANT!$B$8:$B$270)</f>
        <v>Construcción de filtros verticales (chimeneas para el control y evacuación de gases 0.40*0.40*3.00). Incluye canastillas, material friltrante y tuberia de 4" y demas elementos para su instalacion y puesta en funcionamiento</v>
      </c>
      <c r="D15" s="31" t="str">
        <f>+LOOKUP(B15,[46]CANT!$A$8:$A$270,[46]CANT!$D$8:$D$270)</f>
        <v>UN</v>
      </c>
      <c r="E15" s="32">
        <f>+LOOKUP(B15,[46]CANT!$A$8:$A$270,[46]CANT!$P$8:$P$270)</f>
        <v>9</v>
      </c>
      <c r="F15" s="33">
        <f>+IFERROR((VLOOKUP(B15,[46]APU!$A$3:$J$942,10,FALSE)),"")</f>
        <v>307644</v>
      </c>
      <c r="G15" s="34">
        <f>IFERROR((ROUND(E15*F15,0)),"")</f>
        <v>2768796</v>
      </c>
      <c r="H15" s="39"/>
      <c r="I15" s="40"/>
      <c r="J15" s="6"/>
      <c r="K15" s="45"/>
    </row>
    <row r="16" spans="1:11" x14ac:dyDescent="0.25">
      <c r="A16" s="8"/>
      <c r="B16" s="49">
        <v>5</v>
      </c>
      <c r="C16" s="22" t="str">
        <f>+LOOKUP(B16,[46]CANT!$A$8:$A$270,[46]CANT!$B$8:$B$270)</f>
        <v xml:space="preserve">OBRAS ADICIONALES </v>
      </c>
      <c r="D16" s="50"/>
      <c r="E16" s="51"/>
      <c r="F16" s="52"/>
      <c r="G16" s="25">
        <f>SUM(G17:G25)</f>
        <v>76436015</v>
      </c>
      <c r="H16" s="26"/>
      <c r="I16" s="44">
        <f>+SUM(G17:G25)</f>
        <v>76436015</v>
      </c>
    </row>
    <row r="17" spans="1:11" ht="31.5" x14ac:dyDescent="0.25">
      <c r="A17" s="8"/>
      <c r="B17" s="53">
        <v>5.01</v>
      </c>
      <c r="C17" s="30" t="str">
        <f>+LOOKUP(B17,[46]CANT!$A$8:$A$270,[46]CANT!$B$8:$B$270)</f>
        <v>Suministro e instalación de la geomembrana Textil HR - 30.000 Espesor 0,75 ml para la impermeabilización</v>
      </c>
      <c r="D17" s="31" t="str">
        <f>+LOOKUP(B17,[46]CANT!$A$8:$A$270,[46]CANT!$D$8:$D$270)</f>
        <v>m2</v>
      </c>
      <c r="E17" s="32">
        <f>+LOOKUP(B17,[46]CANT!$A$8:$A$270,[46]CANT!$P$8:$P$270)</f>
        <v>2109</v>
      </c>
      <c r="F17" s="33">
        <f>+IFERROR((VLOOKUP(B17,[46]APU!$A$3:$J$942,10,FALSE)),"")</f>
        <v>26304</v>
      </c>
      <c r="G17" s="34">
        <f t="shared" ref="G17:G25" si="0">IFERROR((ROUND(E17*F17,0)),"")</f>
        <v>55475136</v>
      </c>
      <c r="H17" s="39"/>
      <c r="I17" s="40"/>
      <c r="J17" s="54"/>
    </row>
    <row r="18" spans="1:11" ht="31.5" x14ac:dyDescent="0.25">
      <c r="A18" s="8"/>
      <c r="B18" s="53">
        <v>5.0199999999999996</v>
      </c>
      <c r="C18" s="30" t="str">
        <f>+LOOKUP(B18,[46]CANT!$A$8:$A$270,[46]CANT!$B$8:$B$270)</f>
        <v>Excavación de cunetas para tuberías de lixiviados y pozo de recirculación de lixiviados</v>
      </c>
      <c r="D18" s="31" t="str">
        <f>+LOOKUP(B18,[46]CANT!$A$8:$A$270,[46]CANT!$D$8:$D$270)</f>
        <v>m3</v>
      </c>
      <c r="E18" s="32">
        <f>+LOOKUP(B18,[46]CANT!$A$8:$A$270,[46]CANT!$P$8:$P$270)</f>
        <v>4.8</v>
      </c>
      <c r="F18" s="33">
        <f>+IFERROR((VLOOKUP(B18,[46]APU!$A$3:$J$942,10,FALSE)),"")</f>
        <v>65178</v>
      </c>
      <c r="G18" s="34">
        <f t="shared" si="0"/>
        <v>312854</v>
      </c>
      <c r="H18" s="39"/>
      <c r="I18" s="40"/>
      <c r="J18" s="54"/>
    </row>
    <row r="19" spans="1:11" ht="29.25" customHeight="1" x14ac:dyDescent="0.25">
      <c r="A19" s="8"/>
      <c r="B19" s="53">
        <v>5.03</v>
      </c>
      <c r="C19" s="30" t="str">
        <f>+LOOKUP(B19,[46]CANT!$A$8:$A$270,[46]CANT!$B$8:$B$270)</f>
        <v xml:space="preserve">Suministro e instalación de tubería sanitaria de 4" para recolección de lixiviados. </v>
      </c>
      <c r="D19" s="31" t="str">
        <f>+LOOKUP(B19,[46]CANT!$A$8:$A$270,[46]CANT!$D$8:$D$270)</f>
        <v>m</v>
      </c>
      <c r="E19" s="32">
        <f>+LOOKUP(B19,[46]CANT!$A$8:$A$270,[46]CANT!$P$8:$P$270)</f>
        <v>10</v>
      </c>
      <c r="F19" s="33">
        <f>+IFERROR((VLOOKUP(B19,[46]APU!$A$3:$J$942,10,FALSE)),"")</f>
        <v>38530</v>
      </c>
      <c r="G19" s="34">
        <f t="shared" si="0"/>
        <v>385300</v>
      </c>
      <c r="H19" s="39"/>
      <c r="I19" s="40"/>
      <c r="J19" s="54"/>
    </row>
    <row r="20" spans="1:11" x14ac:dyDescent="0.25">
      <c r="A20" s="8"/>
      <c r="B20" s="53">
        <v>5.04</v>
      </c>
      <c r="C20" s="30" t="str">
        <f>+LOOKUP(B20,[46]CANT!$A$8:$A$270,[46]CANT!$B$8:$B$270)</f>
        <v xml:space="preserve">Construcción de cuarto de máquinas. </v>
      </c>
      <c r="D20" s="31" t="str">
        <f>+LOOKUP(B20,[46]CANT!$A$8:$A$270,[46]CANT!$D$8:$D$270)</f>
        <v>UN</v>
      </c>
      <c r="E20" s="32">
        <f>+LOOKUP(B20,[46]CANT!$A$8:$A$270,[46]CANT!$P$8:$P$270)</f>
        <v>1</v>
      </c>
      <c r="F20" s="33">
        <f>+IFERROR((VLOOKUP(B20,[46]APU!$A$3:$J$942,10,FALSE)),"")</f>
        <v>1475892</v>
      </c>
      <c r="G20" s="34">
        <f t="shared" si="0"/>
        <v>1475892</v>
      </c>
      <c r="H20" s="39"/>
      <c r="I20" s="40"/>
      <c r="J20" s="54"/>
    </row>
    <row r="21" spans="1:11" ht="31.5" x14ac:dyDescent="0.25">
      <c r="A21" s="8"/>
      <c r="B21" s="53">
        <v>5.05</v>
      </c>
      <c r="C21" s="30" t="str">
        <f>+LOOKUP(B21,[46]CANT!$A$8:$A$270,[46]CANT!$B$8:$B$270)</f>
        <v>Suministro e instalación de moto bomba de 2x2 autocebante para la evacuación de tanques de los lixiviados</v>
      </c>
      <c r="D21" s="31" t="str">
        <f>+LOOKUP(B21,[46]CANT!$A$8:$A$270,[46]CANT!$D$8:$D$270)</f>
        <v>UN</v>
      </c>
      <c r="E21" s="32">
        <f>+LOOKUP(B21,[46]CANT!$A$8:$A$270,[46]CANT!$P$8:$P$270)</f>
        <v>1</v>
      </c>
      <c r="F21" s="33">
        <f>+IFERROR((VLOOKUP(B21,[46]APU!$A$3:$J$942,10,FALSE)),"")</f>
        <v>4210402</v>
      </c>
      <c r="G21" s="34">
        <f t="shared" si="0"/>
        <v>4210402</v>
      </c>
      <c r="H21" s="39"/>
      <c r="I21" s="40"/>
      <c r="J21" s="54"/>
    </row>
    <row r="22" spans="1:11" ht="23.85" customHeight="1" x14ac:dyDescent="0.25">
      <c r="A22" s="8"/>
      <c r="B22" s="53">
        <v>5.0599999999999996</v>
      </c>
      <c r="C22" s="30" t="str">
        <f>+LOOKUP(B22,[46]CANT!$A$8:$A$270,[46]CANT!$B$8:$B$270)</f>
        <v xml:space="preserve">Suministro e instalación de Manguera de 2" Descarga Plana 2 Tipo Bombero. </v>
      </c>
      <c r="D22" s="31" t="str">
        <f>+LOOKUP(B22,[46]CANT!$A$8:$A$270,[46]CANT!$D$8:$D$270)</f>
        <v>M</v>
      </c>
      <c r="E22" s="32">
        <f>+LOOKUP(B22,[46]CANT!$A$8:$A$270,[46]CANT!$P$8:$P$270)</f>
        <v>70</v>
      </c>
      <c r="F22" s="33">
        <f>+IFERROR((VLOOKUP(B22,[46]APU!$A$3:$J$942,10,FALSE)),"")</f>
        <v>22867</v>
      </c>
      <c r="G22" s="34">
        <f t="shared" si="0"/>
        <v>1600690</v>
      </c>
      <c r="H22" s="39"/>
      <c r="I22" s="40"/>
      <c r="J22" s="54"/>
    </row>
    <row r="23" spans="1:11" s="55" customFormat="1" ht="50.25" customHeight="1" x14ac:dyDescent="0.25">
      <c r="B23" s="53">
        <v>5.07</v>
      </c>
      <c r="C23" s="56" t="str">
        <f>+LOOKUP(B23,[46]CANT!$A$8:$A$270,[46]CANT!$B$8:$B$270)</f>
        <v xml:space="preserve">Construccion de Caja de inspeccion de 1,0x1,0x1,0 m, en concreto de 21 MPa, Incluye excavacion, formaleta, acero, suministro, transporte e instalación del concreto, mano de obra, vibrado, curado y protección. </v>
      </c>
      <c r="D23" s="57" t="str">
        <f>+LOOKUP(B23,[46]CANT!$A$8:$A$270,[46]CANT!$D$8:$D$270)</f>
        <v>UN</v>
      </c>
      <c r="E23" s="58">
        <f>+LOOKUP(B23,[46]CANT!$A$8:$A$270,[46]CANT!$P$8:$P$270)</f>
        <v>1</v>
      </c>
      <c r="F23" s="33">
        <f>+IFERROR((VLOOKUP(B23,[46]APU!$A$3:$J$942,10,FALSE)),"")</f>
        <v>1986664</v>
      </c>
      <c r="G23" s="59">
        <f t="shared" si="0"/>
        <v>1986664</v>
      </c>
      <c r="H23" s="39"/>
      <c r="I23" s="40"/>
      <c r="J23" s="60"/>
    </row>
    <row r="24" spans="1:11" s="55" customFormat="1" ht="60.4" customHeight="1" x14ac:dyDescent="0.25">
      <c r="B24" s="53">
        <v>5.08</v>
      </c>
      <c r="C24" s="56" t="str">
        <f>+LOOKUP(B24,[46]CANT!$A$8:$A$270,[46]CANT!$B$8:$B$270)</f>
        <v xml:space="preserve">Construccion de tanque de recoleccion y almacenamiento de lixiviados de 2.0x3.0x3.0 m, en concreto de 21 Mpa,  Incluye excavacion, formaleta, acero, suministro, transporte e instalación del concreto, mano de obra, vibrado, curado y protección.  </v>
      </c>
      <c r="D24" s="57" t="str">
        <f>+LOOKUP(B24,[46]CANT!$A$8:$A$270,[46]CANT!$D$8:$D$270)</f>
        <v>UN</v>
      </c>
      <c r="E24" s="58">
        <f>+LOOKUP(B24,[46]CANT!$A$8:$A$270,[46]CANT!$P$8:$P$270)</f>
        <v>1</v>
      </c>
      <c r="F24" s="33">
        <f>+IFERROR((VLOOKUP(B24,[46]APU!$A$3:$J$942,10,FALSE)),"")</f>
        <v>9662076</v>
      </c>
      <c r="G24" s="59">
        <f t="shared" si="0"/>
        <v>9662076</v>
      </c>
      <c r="H24" s="39"/>
      <c r="I24" s="40"/>
      <c r="J24" s="60"/>
    </row>
    <row r="25" spans="1:11" s="55" customFormat="1" ht="17.649999999999999" customHeight="1" x14ac:dyDescent="0.25">
      <c r="B25" s="53">
        <v>5.09</v>
      </c>
      <c r="C25" s="56" t="str">
        <f>+LOOKUP(B25,[46]CANT!$A$8:$A$270,[46]CANT!$B$8:$B$270)</f>
        <v xml:space="preserve">Suministro e instalacion de valla informativa </v>
      </c>
      <c r="D25" s="57" t="str">
        <f>+LOOKUP(B25,[46]CANT!$A$8:$A$270,[46]CANT!$D$8:$D$270)</f>
        <v>UN</v>
      </c>
      <c r="E25" s="58">
        <f>+LOOKUP(B25,[46]CANT!$A$8:$A$270,[46]CANT!$P$8:$P$270)</f>
        <v>1</v>
      </c>
      <c r="F25" s="33">
        <f>+IFERROR((VLOOKUP(B25,[46]APU!$A$3:$J$942,10,FALSE)),"")</f>
        <v>1327001</v>
      </c>
      <c r="G25" s="59">
        <f t="shared" si="0"/>
        <v>1327001</v>
      </c>
      <c r="H25" s="39"/>
      <c r="I25" s="40"/>
      <c r="J25" s="60"/>
    </row>
    <row r="26" spans="1:11" x14ac:dyDescent="0.25">
      <c r="A26" s="8"/>
      <c r="B26" s="49">
        <v>6</v>
      </c>
      <c r="C26" s="61" t="str">
        <f>+LOOKUP(B26,[46]CANT!$A$8:$A$270,[46]CANT!$B$8:$B$270)</f>
        <v>CERRAMIENTO PIREMETRAL</v>
      </c>
      <c r="D26" s="50"/>
      <c r="E26" s="51"/>
      <c r="F26" s="62"/>
      <c r="G26" s="25">
        <f>SUM(G27)</f>
        <v>1280985</v>
      </c>
      <c r="H26" s="39"/>
      <c r="I26" s="63">
        <f>+SUM(G27:G27)</f>
        <v>1280985</v>
      </c>
      <c r="J26" s="54" t="e">
        <f>+F26-#REF!</f>
        <v>#REF!</v>
      </c>
    </row>
    <row r="27" spans="1:11" x14ac:dyDescent="0.25">
      <c r="A27" s="8"/>
      <c r="B27" s="53">
        <v>6.01</v>
      </c>
      <c r="C27" s="64" t="str">
        <f>+LOOKUP(B27,[46]CANT!$A$8:$A$270,[46]CANT!$B$8:$B$270)</f>
        <v xml:space="preserve">Construcción de cerramiento en alambre de puas </v>
      </c>
      <c r="D27" s="65" t="str">
        <f>+LOOKUP(B27,[46]CANT!$A$8:$A$270,[46]CANT!$D$8:$D$270)</f>
        <v>m</v>
      </c>
      <c r="E27" s="66">
        <f>+LOOKUP(B27,[46]CANT!$A$8:$A$270,[46]CANT!$P$8:$P$270)</f>
        <v>115</v>
      </c>
      <c r="F27" s="33">
        <f>+IFERROR((VLOOKUP(B27,[46]APU!$A$3:$J$942,10,FALSE)),"")</f>
        <v>11139</v>
      </c>
      <c r="G27" s="34">
        <f>IFERROR((ROUND(E27*F27,0)),"")</f>
        <v>1280985</v>
      </c>
      <c r="H27" s="39"/>
      <c r="I27" s="67"/>
      <c r="J27" s="54"/>
    </row>
    <row r="28" spans="1:11" ht="10.5" customHeight="1" thickBot="1" x14ac:dyDescent="0.3">
      <c r="A28" s="8"/>
      <c r="B28" s="68"/>
      <c r="C28" s="69"/>
      <c r="D28" s="70"/>
      <c r="E28" s="71"/>
      <c r="F28" s="72"/>
      <c r="G28" s="73"/>
      <c r="H28" s="45"/>
      <c r="I28" s="46"/>
    </row>
    <row r="29" spans="1:11" ht="16.5" thickBot="1" x14ac:dyDescent="0.3">
      <c r="A29" s="8"/>
      <c r="B29" s="68"/>
      <c r="C29" s="74" t="s">
        <v>8</v>
      </c>
      <c r="D29" s="75"/>
      <c r="E29" s="76"/>
      <c r="F29" s="76"/>
      <c r="G29" s="77">
        <f>G26+G16+G14+G10+G7+G4</f>
        <v>395131098</v>
      </c>
      <c r="H29" s="39"/>
      <c r="I29" s="77">
        <f>ROUND(SUM(I4:I27),0)</f>
        <v>395131098</v>
      </c>
      <c r="J29" s="78">
        <v>91232443</v>
      </c>
    </row>
    <row r="30" spans="1:11" ht="16.5" customHeight="1" thickBot="1" x14ac:dyDescent="0.3">
      <c r="A30" s="8"/>
      <c r="B30" s="68"/>
      <c r="C30" s="74" t="s">
        <v>9</v>
      </c>
      <c r="D30" s="75"/>
      <c r="E30" s="79"/>
      <c r="F30" s="80">
        <v>0.25</v>
      </c>
      <c r="G30" s="81">
        <f>ROUND(G29*F30,0)</f>
        <v>98782775</v>
      </c>
      <c r="H30" s="26"/>
      <c r="I30" s="82">
        <f>ROUND(I29*F30,0)</f>
        <v>98782775</v>
      </c>
      <c r="J30" s="78">
        <v>22808111</v>
      </c>
    </row>
    <row r="31" spans="1:11" ht="16.5" thickBot="1" x14ac:dyDescent="0.3">
      <c r="A31" s="8"/>
      <c r="B31" s="68"/>
      <c r="C31" s="83" t="s">
        <v>10</v>
      </c>
      <c r="D31" s="84"/>
      <c r="E31" s="85"/>
      <c r="F31" s="86">
        <v>0.05</v>
      </c>
      <c r="G31" s="81">
        <f>ROUND(G29*F31,0)</f>
        <v>19756555</v>
      </c>
      <c r="H31" s="26"/>
      <c r="I31" s="82">
        <f>ROUND(I29*F31,0)</f>
        <v>19756555</v>
      </c>
      <c r="J31" s="78">
        <v>4561622</v>
      </c>
    </row>
    <row r="32" spans="1:11" ht="16.5" thickBot="1" x14ac:dyDescent="0.3">
      <c r="A32" s="8"/>
      <c r="B32" s="87"/>
      <c r="C32" s="83" t="s">
        <v>11</v>
      </c>
      <c r="D32" s="84"/>
      <c r="E32" s="85"/>
      <c r="F32" s="85"/>
      <c r="G32" s="77">
        <f>SUM(G29:G31)</f>
        <v>513670428</v>
      </c>
      <c r="H32" s="88"/>
      <c r="I32" s="77">
        <f>SUM(I29:I31)</f>
        <v>513670428</v>
      </c>
      <c r="J32" s="78">
        <v>118602176</v>
      </c>
      <c r="K32" s="89">
        <f>+I32-J32</f>
        <v>395068252</v>
      </c>
    </row>
    <row r="33" spans="1:9" x14ac:dyDescent="0.25">
      <c r="A33" s="8"/>
      <c r="B33" s="11"/>
      <c r="C33" s="90"/>
      <c r="D33" s="91"/>
      <c r="E33" s="92"/>
      <c r="F33" s="92"/>
      <c r="G33" s="67"/>
      <c r="H33" s="39"/>
      <c r="I33" s="93"/>
    </row>
    <row r="34" spans="1:9" x14ac:dyDescent="0.25">
      <c r="A34" s="8"/>
      <c r="B34" s="11"/>
      <c r="C34" s="94"/>
      <c r="D34" s="406" t="s">
        <v>12</v>
      </c>
      <c r="E34" s="406"/>
      <c r="F34" s="95"/>
      <c r="G34" s="67">
        <f>550000000-G32</f>
        <v>36329572</v>
      </c>
      <c r="H34" s="39"/>
      <c r="I34" s="67">
        <v>953706571</v>
      </c>
    </row>
    <row r="35" spans="1:9" x14ac:dyDescent="0.25">
      <c r="A35" s="8"/>
      <c r="B35" s="11"/>
      <c r="C35" s="96"/>
      <c r="D35" s="11"/>
      <c r="F35" s="97"/>
      <c r="G35" s="98"/>
      <c r="H35" s="45"/>
      <c r="I35" s="98"/>
    </row>
    <row r="36" spans="1:9" x14ac:dyDescent="0.25">
      <c r="A36" s="8"/>
      <c r="B36" s="11"/>
      <c r="C36" s="96"/>
      <c r="D36" s="407" t="s">
        <v>13</v>
      </c>
      <c r="E36" s="407"/>
      <c r="F36" s="97"/>
      <c r="G36" s="98">
        <f>+G34+G32</f>
        <v>550000000</v>
      </c>
      <c r="H36" s="45"/>
      <c r="I36" s="98"/>
    </row>
    <row r="37" spans="1:9" x14ac:dyDescent="0.25">
      <c r="A37" s="8"/>
      <c r="B37" s="11"/>
      <c r="C37" s="96"/>
      <c r="D37" s="11"/>
      <c r="F37" s="97"/>
      <c r="G37" s="98"/>
      <c r="H37" s="45"/>
      <c r="I37" s="98"/>
    </row>
    <row r="38" spans="1:9" x14ac:dyDescent="0.25">
      <c r="A38" s="8"/>
      <c r="B38" s="11"/>
      <c r="C38" s="96"/>
      <c r="D38" s="11"/>
      <c r="F38" s="97"/>
      <c r="G38" s="98"/>
      <c r="H38" s="45"/>
      <c r="I38" s="98">
        <f>+I34/1423500</f>
        <v>669.97300386371614</v>
      </c>
    </row>
    <row r="39" spans="1:9" x14ac:dyDescent="0.25">
      <c r="A39" s="8"/>
      <c r="B39" s="11"/>
      <c r="C39" s="96"/>
      <c r="D39" s="11"/>
      <c r="F39" s="97"/>
      <c r="G39" s="98">
        <v>514018691.58878505</v>
      </c>
      <c r="H39" s="45"/>
      <c r="I39" s="98"/>
    </row>
    <row r="40" spans="1:9" x14ac:dyDescent="0.25">
      <c r="A40" s="8"/>
      <c r="B40" s="11"/>
      <c r="C40" s="96"/>
      <c r="D40" s="11"/>
      <c r="F40" s="97"/>
      <c r="G40" s="98">
        <f>+G39*F34</f>
        <v>0</v>
      </c>
      <c r="H40" s="45"/>
      <c r="I40" s="98"/>
    </row>
    <row r="41" spans="1:9" x14ac:dyDescent="0.25">
      <c r="A41" s="8"/>
      <c r="B41" s="11"/>
      <c r="C41" s="96"/>
      <c r="D41" s="11"/>
      <c r="F41" s="97"/>
      <c r="G41" s="98">
        <f>+G40+G39</f>
        <v>514018691.58878505</v>
      </c>
      <c r="H41" s="45"/>
      <c r="I41" s="98"/>
    </row>
    <row r="42" spans="1:9" x14ac:dyDescent="0.25">
      <c r="A42" s="8"/>
      <c r="B42" s="11"/>
      <c r="C42" s="96"/>
      <c r="D42" s="11"/>
      <c r="F42" s="97"/>
      <c r="G42" s="98"/>
      <c r="H42" s="45"/>
      <c r="I42" s="98"/>
    </row>
    <row r="43" spans="1:9" x14ac:dyDescent="0.25">
      <c r="B43" s="11"/>
      <c r="C43" s="96"/>
      <c r="D43" s="11"/>
      <c r="F43" s="97"/>
      <c r="G43" s="98">
        <f>+G41-G32</f>
        <v>348263.5887850523</v>
      </c>
      <c r="H43" s="45"/>
      <c r="I43" s="98"/>
    </row>
    <row r="44" spans="1:9" x14ac:dyDescent="0.25">
      <c r="G44" s="6">
        <f>+G43-G40</f>
        <v>348263.5887850523</v>
      </c>
    </row>
    <row r="45" spans="1:9" x14ac:dyDescent="0.25">
      <c r="E45" s="99"/>
    </row>
    <row r="46" spans="1:9" x14ac:dyDescent="0.25">
      <c r="C46" s="1"/>
      <c r="D46" s="1"/>
      <c r="E46" s="100"/>
      <c r="H46" s="1"/>
    </row>
    <row r="47" spans="1:9" x14ac:dyDescent="0.25">
      <c r="C47" s="1"/>
      <c r="D47" s="1"/>
      <c r="E47" s="100"/>
      <c r="H47" s="1"/>
    </row>
  </sheetData>
  <mergeCells count="3">
    <mergeCell ref="B2:G2"/>
    <mergeCell ref="D34:E34"/>
    <mergeCell ref="D36:E36"/>
  </mergeCells>
  <printOptions horizontalCentered="1"/>
  <pageMargins left="0.19685039370078741" right="0.31496062992125984" top="0.78740157480314965" bottom="0.55118110236220474" header="0.31496062992125984" footer="0.31496062992125984"/>
  <pageSetup scale="80" fitToHeight="0" orientation="portrait" r:id="rId1"/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CD71B-A643-42AC-A844-CF9D0620AD71}">
  <sheetPr>
    <tabColor theme="0"/>
    <pageSetUpPr fitToPage="1"/>
  </sheetPr>
  <dimension ref="A1:AB168"/>
  <sheetViews>
    <sheetView view="pageBreakPreview" zoomScale="80" zoomScaleNormal="100" zoomScaleSheetLayoutView="80" workbookViewId="0">
      <pane xSplit="16" ySplit="7" topLeftCell="Q128" activePane="bottomRight" state="frozen"/>
      <selection activeCell="E9" sqref="E9"/>
      <selection pane="topRight" activeCell="E9" sqref="E9"/>
      <selection pane="bottomLeft" activeCell="E9" sqref="E9"/>
      <selection pane="bottomRight" activeCell="G19" sqref="G19"/>
    </sheetView>
  </sheetViews>
  <sheetFormatPr baseColWidth="10" defaultColWidth="11.42578125" defaultRowHeight="15" x14ac:dyDescent="0.25"/>
  <cols>
    <col min="1" max="1" width="8.42578125" style="102" bestFit="1" customWidth="1"/>
    <col min="2" max="2" width="44" style="101" customWidth="1"/>
    <col min="3" max="3" width="26.42578125" style="101" customWidth="1"/>
    <col min="4" max="4" width="10.5703125" style="101" customWidth="1"/>
    <col min="5" max="5" width="8.85546875" style="102" bestFit="1" customWidth="1"/>
    <col min="6" max="6" width="11.42578125" style="102" bestFit="1" customWidth="1"/>
    <col min="7" max="7" width="7.42578125" style="102" customWidth="1"/>
    <col min="8" max="8" width="8.85546875" style="102" bestFit="1" customWidth="1"/>
    <col min="9" max="9" width="8.5703125" style="102" customWidth="1"/>
    <col min="10" max="12" width="7.42578125" style="102" customWidth="1"/>
    <col min="13" max="13" width="11.42578125" style="102" customWidth="1"/>
    <col min="14" max="15" width="7.42578125" style="101" customWidth="1"/>
    <col min="16" max="16" width="14" style="101" bestFit="1" customWidth="1"/>
    <col min="17" max="17" width="6.85546875" style="101" customWidth="1"/>
    <col min="18" max="18" width="20.42578125" style="101" customWidth="1"/>
    <col min="19" max="19" width="14.42578125" style="101" customWidth="1"/>
    <col min="20" max="20" width="22.42578125" style="101" customWidth="1"/>
    <col min="21" max="21" width="20.5703125" style="101" customWidth="1"/>
    <col min="22" max="16384" width="11.42578125" style="101"/>
  </cols>
  <sheetData>
    <row r="1" spans="1:28" x14ac:dyDescent="0.25">
      <c r="A1" s="426" t="s">
        <v>14</v>
      </c>
      <c r="B1" s="427"/>
      <c r="C1" s="427"/>
      <c r="D1" s="427"/>
      <c r="E1" s="427"/>
      <c r="F1" s="427"/>
      <c r="G1" s="427"/>
      <c r="H1" s="427"/>
      <c r="I1" s="427"/>
      <c r="J1" s="427"/>
      <c r="K1" s="427"/>
      <c r="L1" s="427"/>
      <c r="M1" s="427"/>
      <c r="N1" s="427"/>
      <c r="O1" s="427"/>
      <c r="P1" s="427"/>
    </row>
    <row r="2" spans="1:28" x14ac:dyDescent="0.25">
      <c r="A2" s="426"/>
      <c r="B2" s="427"/>
      <c r="C2" s="427"/>
      <c r="D2" s="427"/>
      <c r="E2" s="427"/>
      <c r="F2" s="427"/>
      <c r="G2" s="427"/>
      <c r="H2" s="427"/>
      <c r="I2" s="427"/>
      <c r="J2" s="427"/>
      <c r="K2" s="427"/>
      <c r="L2" s="427"/>
      <c r="M2" s="427"/>
      <c r="N2" s="427"/>
      <c r="O2" s="427"/>
      <c r="P2" s="427"/>
    </row>
    <row r="3" spans="1:28" x14ac:dyDescent="0.25">
      <c r="A3" s="426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</row>
    <row r="4" spans="1:28" x14ac:dyDescent="0.25">
      <c r="A4" s="428" t="s">
        <v>15</v>
      </c>
      <c r="B4" s="429"/>
      <c r="C4" s="429"/>
      <c r="D4" s="429"/>
      <c r="E4" s="429"/>
      <c r="F4" s="429"/>
      <c r="G4" s="429"/>
      <c r="H4" s="429"/>
      <c r="I4" s="429"/>
      <c r="J4" s="429"/>
      <c r="K4" s="429"/>
      <c r="L4" s="429"/>
      <c r="M4" s="429"/>
      <c r="N4" s="429"/>
      <c r="O4" s="429"/>
      <c r="P4" s="430"/>
    </row>
    <row r="5" spans="1:28" ht="15.75" thickBot="1" x14ac:dyDescent="0.3">
      <c r="AB5" s="101">
        <f>1.011+0.8</f>
        <v>1.8109999999999999</v>
      </c>
    </row>
    <row r="6" spans="1:28" x14ac:dyDescent="0.25">
      <c r="A6" s="431" t="s">
        <v>16</v>
      </c>
      <c r="B6" s="433" t="s">
        <v>17</v>
      </c>
      <c r="C6" s="433" t="s">
        <v>18</v>
      </c>
      <c r="D6" s="422" t="s">
        <v>3</v>
      </c>
      <c r="E6" s="435" t="s">
        <v>19</v>
      </c>
      <c r="F6" s="422" t="s">
        <v>20</v>
      </c>
      <c r="G6" s="422"/>
      <c r="H6" s="422"/>
      <c r="I6" s="422"/>
      <c r="J6" s="422"/>
      <c r="K6" s="422" t="s">
        <v>21</v>
      </c>
      <c r="L6" s="422"/>
      <c r="M6" s="422"/>
      <c r="N6" s="422" t="s">
        <v>22</v>
      </c>
      <c r="O6" s="422" t="s">
        <v>23</v>
      </c>
      <c r="P6" s="424" t="s">
        <v>11</v>
      </c>
      <c r="R6" s="103"/>
      <c r="AB6" s="101">
        <f>+AB5/2</f>
        <v>0.90549999999999997</v>
      </c>
    </row>
    <row r="7" spans="1:28" ht="16.5" customHeight="1" thickBot="1" x14ac:dyDescent="0.3">
      <c r="A7" s="432"/>
      <c r="B7" s="434"/>
      <c r="C7" s="434"/>
      <c r="D7" s="423"/>
      <c r="E7" s="436"/>
      <c r="F7" s="107" t="s">
        <v>24</v>
      </c>
      <c r="G7" s="107" t="s">
        <v>25</v>
      </c>
      <c r="H7" s="107" t="s">
        <v>26</v>
      </c>
      <c r="I7" s="107" t="s">
        <v>27</v>
      </c>
      <c r="J7" s="107" t="s">
        <v>28</v>
      </c>
      <c r="K7" s="107" t="s">
        <v>29</v>
      </c>
      <c r="L7" s="107" t="s">
        <v>30</v>
      </c>
      <c r="M7" s="107" t="s">
        <v>31</v>
      </c>
      <c r="N7" s="423"/>
      <c r="O7" s="423"/>
      <c r="P7" s="425"/>
    </row>
    <row r="8" spans="1:28" ht="15.75" thickBot="1" x14ac:dyDescent="0.3">
      <c r="F8" s="108"/>
      <c r="G8" s="108"/>
      <c r="N8" s="109"/>
      <c r="O8" s="109"/>
      <c r="P8" s="109"/>
    </row>
    <row r="9" spans="1:28" ht="15.75" thickBot="1" x14ac:dyDescent="0.3">
      <c r="A9" s="110">
        <v>1</v>
      </c>
      <c r="B9" s="111" t="s">
        <v>32</v>
      </c>
      <c r="C9" s="111"/>
      <c r="D9" s="111"/>
      <c r="E9" s="112"/>
      <c r="F9" s="113"/>
      <c r="G9" s="113"/>
      <c r="H9" s="113"/>
      <c r="I9" s="113"/>
      <c r="J9" s="113"/>
      <c r="K9" s="114"/>
      <c r="L9" s="114"/>
      <c r="M9" s="114"/>
      <c r="N9" s="115"/>
      <c r="O9" s="115"/>
      <c r="P9" s="116"/>
    </row>
    <row r="10" spans="1:28" ht="15.75" thickBot="1" x14ac:dyDescent="0.3">
      <c r="A10" s="117"/>
      <c r="B10" s="118"/>
      <c r="C10" s="118"/>
      <c r="D10" s="118"/>
      <c r="E10" s="119"/>
      <c r="F10" s="120"/>
      <c r="G10" s="120"/>
      <c r="H10" s="120"/>
      <c r="I10" s="120"/>
      <c r="J10" s="120"/>
      <c r="K10" s="120"/>
      <c r="L10" s="120"/>
      <c r="M10" s="120"/>
      <c r="N10" s="121"/>
      <c r="O10" s="121"/>
      <c r="P10" s="122"/>
    </row>
    <row r="11" spans="1:28" ht="42.75" customHeight="1" x14ac:dyDescent="0.25">
      <c r="A11" s="123">
        <v>1.01</v>
      </c>
      <c r="B11" s="408" t="s">
        <v>33</v>
      </c>
      <c r="C11" s="409"/>
      <c r="D11" s="124" t="s">
        <v>34</v>
      </c>
      <c r="E11" s="410" t="s">
        <v>11</v>
      </c>
      <c r="F11" s="411"/>
      <c r="G11" s="411"/>
      <c r="H11" s="411"/>
      <c r="I11" s="411"/>
      <c r="J11" s="411"/>
      <c r="K11" s="411"/>
      <c r="L11" s="411"/>
      <c r="M11" s="411"/>
      <c r="N11" s="411"/>
      <c r="O11" s="412"/>
      <c r="P11" s="125">
        <f>+ROUND(SUM(P12:P13),2)</f>
        <v>1500</v>
      </c>
    </row>
    <row r="12" spans="1:28" x14ac:dyDescent="0.25">
      <c r="A12" s="126"/>
      <c r="B12" s="127"/>
      <c r="C12" s="128"/>
      <c r="D12" s="129" t="s">
        <v>34</v>
      </c>
      <c r="E12" s="129">
        <v>1</v>
      </c>
      <c r="F12" s="130">
        <v>50</v>
      </c>
      <c r="G12" s="131">
        <v>30</v>
      </c>
      <c r="H12" s="132"/>
      <c r="I12" s="132"/>
      <c r="J12" s="132"/>
      <c r="K12" s="133">
        <f>IF(D12="M2",E12*F12*G12,IF(D12="M3",E12*F12*G12*H12,IF(D12="M",E12*F12,IF(D12="UNIDAD",E12,IF(D12="GLOBAL",E12,0)))))</f>
        <v>1500</v>
      </c>
      <c r="L12" s="131"/>
      <c r="M12" s="131"/>
      <c r="N12" s="131"/>
      <c r="O12" s="131"/>
      <c r="P12" s="134">
        <f>IF(D12="GLOBAL",E12,IF(D12="UNIDAD",E12,IF(D12="M2",((K12+L12+M12)-(N12+O12)),IF(D12="M3",((K12+L12+M12)-(N12+O12)),IF(D12="M",((K12+L12+M12)-(N12+O12)),0)))))</f>
        <v>1500</v>
      </c>
    </row>
    <row r="13" spans="1:28" x14ac:dyDescent="0.25">
      <c r="A13" s="126"/>
      <c r="B13" s="127"/>
      <c r="C13" s="127"/>
      <c r="D13" s="129" t="s">
        <v>34</v>
      </c>
      <c r="E13" s="129"/>
      <c r="F13" s="130"/>
      <c r="G13" s="131"/>
      <c r="H13" s="132"/>
      <c r="I13" s="132"/>
      <c r="J13" s="132"/>
      <c r="K13" s="133">
        <f>IF(D13="M2",E13*F13*G13,IF(D13="M3",E13*F13*G13*H13,IF(D13="M",E13*F13,IF(D13="UNIDAD",E13,IF(D13="GLOBAL",E13,0)))))</f>
        <v>0</v>
      </c>
      <c r="L13" s="131"/>
      <c r="M13" s="131"/>
      <c r="N13" s="131"/>
      <c r="O13" s="131"/>
      <c r="P13" s="134">
        <f>IF(D13="GLOBAL",E13,IF(D13="UNIDAD",E13,IF(D13="M2",((K13+L13+M13)-(N13+O13)),IF(D13="M3",((K13+L13+M13)-(N13+O13)),IF(D13="M",((K13+L13+M13)-(N13+O13)),0)))))</f>
        <v>0</v>
      </c>
    </row>
    <row r="14" spans="1:28" ht="15.75" thickBot="1" x14ac:dyDescent="0.3">
      <c r="A14" s="135"/>
      <c r="B14" s="136"/>
      <c r="C14" s="136"/>
      <c r="D14" s="137"/>
      <c r="E14" s="137"/>
      <c r="F14" s="138"/>
      <c r="G14" s="138"/>
      <c r="H14" s="139"/>
      <c r="I14" s="139"/>
      <c r="J14" s="139"/>
      <c r="K14" s="138"/>
      <c r="L14" s="138"/>
      <c r="M14" s="138"/>
      <c r="N14" s="138"/>
      <c r="O14" s="138"/>
      <c r="P14" s="140"/>
    </row>
    <row r="15" spans="1:28" x14ac:dyDescent="0.25">
      <c r="A15" s="108"/>
      <c r="B15" s="141"/>
      <c r="C15" s="141"/>
      <c r="D15" s="141"/>
      <c r="E15" s="142"/>
      <c r="F15" s="142"/>
      <c r="G15" s="142"/>
      <c r="H15" s="142"/>
      <c r="I15" s="142"/>
      <c r="J15" s="142"/>
      <c r="K15" s="142"/>
      <c r="L15" s="142"/>
      <c r="M15" s="142"/>
      <c r="N15" s="141"/>
      <c r="O15" s="141"/>
      <c r="P15" s="108"/>
    </row>
    <row r="16" spans="1:28" ht="15.75" thickBot="1" x14ac:dyDescent="0.3">
      <c r="A16" s="108"/>
      <c r="B16" s="143"/>
      <c r="C16" s="143"/>
      <c r="D16" s="143"/>
      <c r="E16" s="142"/>
    </row>
    <row r="17" spans="1:18" ht="33.75" customHeight="1" x14ac:dyDescent="0.25">
      <c r="A17" s="123">
        <v>1.02</v>
      </c>
      <c r="B17" s="408" t="s">
        <v>35</v>
      </c>
      <c r="C17" s="409"/>
      <c r="D17" s="124" t="s">
        <v>34</v>
      </c>
      <c r="E17" s="410" t="s">
        <v>11</v>
      </c>
      <c r="F17" s="411"/>
      <c r="G17" s="411"/>
      <c r="H17" s="411"/>
      <c r="I17" s="411"/>
      <c r="J17" s="411"/>
      <c r="K17" s="411"/>
      <c r="L17" s="411"/>
      <c r="M17" s="411"/>
      <c r="N17" s="411"/>
      <c r="O17" s="412"/>
      <c r="P17" s="125">
        <f>+ROUND(SUM(P18:P19),2)</f>
        <v>936</v>
      </c>
    </row>
    <row r="18" spans="1:18" x14ac:dyDescent="0.25">
      <c r="A18" s="126"/>
      <c r="B18" s="127"/>
      <c r="C18" s="128"/>
      <c r="D18" s="129" t="s">
        <v>34</v>
      </c>
      <c r="E18" s="129">
        <v>1</v>
      </c>
      <c r="F18" s="130">
        <v>36</v>
      </c>
      <c r="G18" s="131">
        <v>26</v>
      </c>
      <c r="H18" s="132"/>
      <c r="I18" s="132"/>
      <c r="J18" s="132"/>
      <c r="K18" s="133">
        <f>IF(D18="M2",E18*F18*G18,IF(D18="M3",E18*F18*G18*H18,IF(D18="M",E18*F18,IF(D18="UNIDAD",E18,IF(D18="GLOBAL",E18,0)))))</f>
        <v>936</v>
      </c>
      <c r="L18" s="131"/>
      <c r="M18" s="131"/>
      <c r="N18" s="131"/>
      <c r="O18" s="131"/>
      <c r="P18" s="134">
        <f>IF(D18="GLOBAL",E18,IF(D18="UNIDAD",E18,IF(D18="M2",((K18+L18+M18)-(N18+O18)),IF(D18="M3",((K18+L18+M18)-(N18+O18)),IF(D18="M",((K18+L18+M18)-(N18+O18)),0)))))</f>
        <v>936</v>
      </c>
    </row>
    <row r="19" spans="1:18" x14ac:dyDescent="0.25">
      <c r="A19" s="126"/>
      <c r="B19" s="127"/>
      <c r="C19" s="127"/>
      <c r="D19" s="129"/>
      <c r="E19" s="129"/>
      <c r="F19" s="130"/>
      <c r="G19" s="131"/>
      <c r="H19" s="132"/>
      <c r="I19" s="132"/>
      <c r="J19" s="132"/>
      <c r="K19" s="133"/>
      <c r="L19" s="131"/>
      <c r="M19" s="131"/>
      <c r="N19" s="131"/>
      <c r="O19" s="131"/>
      <c r="P19" s="134">
        <f>IF(D19="GLOBAL",E19,IF(D19="UNIDAD",E19,IF(D19="M2",((K19+L19+M19)-(N19+O19)),IF(D19="M3",((K19+L19+M19)-(N19+O19)),IF(D19="M",((K19+L19+M19)-(N19+O19)),0)))))</f>
        <v>0</v>
      </c>
    </row>
    <row r="20" spans="1:18" ht="15.75" thickBot="1" x14ac:dyDescent="0.3">
      <c r="A20" s="135"/>
      <c r="B20" s="136"/>
      <c r="C20" s="136"/>
      <c r="D20" s="137"/>
      <c r="E20" s="137"/>
      <c r="F20" s="138"/>
      <c r="G20" s="138"/>
      <c r="H20" s="139"/>
      <c r="I20" s="139"/>
      <c r="J20" s="139"/>
      <c r="K20" s="138"/>
      <c r="L20" s="138"/>
      <c r="M20" s="138"/>
      <c r="N20" s="138"/>
      <c r="O20" s="138"/>
      <c r="P20" s="140"/>
    </row>
    <row r="21" spans="1:18" x14ac:dyDescent="0.25">
      <c r="A21" s="108"/>
      <c r="B21" s="143"/>
      <c r="C21" s="143"/>
      <c r="D21" s="144"/>
      <c r="E21" s="108"/>
      <c r="F21" s="108"/>
      <c r="G21" s="108"/>
      <c r="H21" s="108"/>
      <c r="I21" s="108"/>
      <c r="J21" s="108"/>
      <c r="K21" s="108"/>
      <c r="L21" s="108"/>
      <c r="M21" s="145"/>
      <c r="N21" s="108"/>
      <c r="O21" s="108"/>
      <c r="P21" s="145"/>
      <c r="R21" s="103"/>
    </row>
    <row r="22" spans="1:18" ht="15.75" thickBot="1" x14ac:dyDescent="0.3">
      <c r="A22" s="146">
        <v>2</v>
      </c>
      <c r="B22" s="147" t="s">
        <v>36</v>
      </c>
      <c r="C22" s="147"/>
      <c r="D22" s="148"/>
      <c r="E22" s="149"/>
      <c r="F22" s="149"/>
      <c r="G22" s="149"/>
      <c r="H22" s="149"/>
      <c r="I22" s="149"/>
      <c r="J22" s="149"/>
      <c r="K22" s="149"/>
      <c r="L22" s="149"/>
      <c r="M22" s="150"/>
      <c r="N22" s="149"/>
      <c r="O22" s="149"/>
      <c r="P22" s="150"/>
    </row>
    <row r="23" spans="1:18" ht="15.75" thickBot="1" x14ac:dyDescent="0.3">
      <c r="A23" s="108"/>
      <c r="B23" s="143"/>
      <c r="C23" s="143"/>
      <c r="D23" s="144"/>
      <c r="E23" s="108"/>
      <c r="F23" s="108"/>
      <c r="G23" s="108"/>
      <c r="H23" s="108"/>
      <c r="I23" s="108"/>
      <c r="J23" s="108"/>
      <c r="K23" s="108"/>
      <c r="L23" s="108"/>
      <c r="M23" s="145"/>
      <c r="N23" s="108"/>
      <c r="O23" s="108"/>
      <c r="P23" s="145"/>
    </row>
    <row r="24" spans="1:18" ht="113.25" customHeight="1" x14ac:dyDescent="0.25">
      <c r="A24" s="151">
        <v>2.0099999999999998</v>
      </c>
      <c r="B24" s="420" t="s">
        <v>37</v>
      </c>
      <c r="C24" s="421"/>
      <c r="D24" s="124" t="s">
        <v>38</v>
      </c>
      <c r="E24" s="410" t="s">
        <v>11</v>
      </c>
      <c r="F24" s="411"/>
      <c r="G24" s="411"/>
      <c r="H24" s="411"/>
      <c r="I24" s="411"/>
      <c r="J24" s="411"/>
      <c r="K24" s="411"/>
      <c r="L24" s="411"/>
      <c r="M24" s="411"/>
      <c r="N24" s="411"/>
      <c r="O24" s="412"/>
      <c r="P24" s="125">
        <f>+ROUND(SUM(P25:P28),2)</f>
        <v>3750</v>
      </c>
    </row>
    <row r="25" spans="1:18" x14ac:dyDescent="0.25">
      <c r="A25" s="152"/>
      <c r="B25" s="128"/>
      <c r="C25" s="153"/>
      <c r="D25" s="154" t="s">
        <v>38</v>
      </c>
      <c r="E25" s="129">
        <v>1</v>
      </c>
      <c r="F25" s="130">
        <v>50</v>
      </c>
      <c r="G25" s="131">
        <v>30</v>
      </c>
      <c r="H25" s="131">
        <v>2.5</v>
      </c>
      <c r="I25" s="131"/>
      <c r="J25" s="131"/>
      <c r="K25" s="131"/>
      <c r="L25" s="131"/>
      <c r="M25" s="131">
        <f>IF(D25="M2",E25*F25*G25,IF(D25="M3",E25*F25*G25*H25,IF(D25="M",E25*F25,IF(D25="UNIDAD",E25,IF(D25="GLOBAL",E25,0)))))</f>
        <v>3750</v>
      </c>
      <c r="N25" s="131"/>
      <c r="O25" s="131"/>
      <c r="P25" s="155">
        <f t="shared" ref="P25:P28" si="0">IF(D25="GLOBAL",E25,IF(D25="UNIDAD",E25,IF(D25="M2",((K25+L25+M25)-(N25+O25)),IF(D25="M3",((K25+L25+M25)-(N25+O25)),IF(D25="M",((K25+L25+M25)-(N25+O25)),0)))))</f>
        <v>3750</v>
      </c>
    </row>
    <row r="26" spans="1:18" x14ac:dyDescent="0.25">
      <c r="A26" s="156"/>
      <c r="B26" s="157"/>
      <c r="C26" s="153"/>
      <c r="D26" s="154"/>
      <c r="E26" s="129"/>
      <c r="F26" s="130"/>
      <c r="G26" s="131"/>
      <c r="H26" s="131"/>
      <c r="I26" s="131"/>
      <c r="J26" s="131"/>
      <c r="K26" s="131"/>
      <c r="L26" s="131"/>
      <c r="M26" s="131"/>
      <c r="N26" s="131"/>
      <c r="O26" s="131"/>
      <c r="P26" s="155">
        <f t="shared" si="0"/>
        <v>0</v>
      </c>
    </row>
    <row r="27" spans="1:18" x14ac:dyDescent="0.25">
      <c r="A27" s="156"/>
      <c r="B27" s="157"/>
      <c r="C27" s="153"/>
      <c r="D27" s="158"/>
      <c r="E27" s="133"/>
      <c r="F27" s="133"/>
      <c r="G27" s="133"/>
      <c r="H27" s="133"/>
      <c r="I27" s="133"/>
      <c r="J27" s="133"/>
      <c r="K27" s="133"/>
      <c r="L27" s="133"/>
      <c r="M27" s="131"/>
      <c r="N27" s="133"/>
      <c r="O27" s="133"/>
      <c r="P27" s="155">
        <f t="shared" si="0"/>
        <v>0</v>
      </c>
    </row>
    <row r="28" spans="1:18" ht="15.75" thickBot="1" x14ac:dyDescent="0.3">
      <c r="A28" s="104"/>
      <c r="B28" s="159"/>
      <c r="C28" s="160"/>
      <c r="D28" s="106"/>
      <c r="E28" s="105"/>
      <c r="F28" s="105"/>
      <c r="G28" s="105"/>
      <c r="H28" s="138"/>
      <c r="I28" s="138"/>
      <c r="J28" s="138"/>
      <c r="K28" s="138"/>
      <c r="L28" s="138"/>
      <c r="M28" s="161"/>
      <c r="N28" s="138"/>
      <c r="O28" s="138"/>
      <c r="P28" s="162">
        <f t="shared" si="0"/>
        <v>0</v>
      </c>
    </row>
    <row r="29" spans="1:18" ht="15.75" thickBot="1" x14ac:dyDescent="0.3">
      <c r="A29" s="108"/>
      <c r="B29" s="143"/>
      <c r="C29" s="163"/>
      <c r="D29" s="144"/>
      <c r="E29" s="108"/>
      <c r="F29" s="108"/>
      <c r="G29" s="108"/>
      <c r="H29" s="108"/>
      <c r="I29" s="108"/>
      <c r="J29" s="108"/>
      <c r="K29" s="108"/>
      <c r="L29" s="108"/>
      <c r="M29" s="145"/>
      <c r="N29" s="108"/>
      <c r="O29" s="108"/>
      <c r="P29" s="145"/>
    </row>
    <row r="30" spans="1:18" ht="65.849999999999994" customHeight="1" x14ac:dyDescent="0.25">
      <c r="A30" s="151">
        <v>2.02</v>
      </c>
      <c r="B30" s="420" t="s">
        <v>39</v>
      </c>
      <c r="C30" s="421"/>
      <c r="D30" s="124" t="s">
        <v>38</v>
      </c>
      <c r="E30" s="410" t="s">
        <v>11</v>
      </c>
      <c r="F30" s="411"/>
      <c r="G30" s="411"/>
      <c r="H30" s="411"/>
      <c r="I30" s="411"/>
      <c r="J30" s="411"/>
      <c r="K30" s="411"/>
      <c r="L30" s="411"/>
      <c r="M30" s="411"/>
      <c r="N30" s="411"/>
      <c r="O30" s="412"/>
      <c r="P30" s="125">
        <f>+ROUND(SUM(P31:P33),2)</f>
        <v>172.8</v>
      </c>
    </row>
    <row r="31" spans="1:18" x14ac:dyDescent="0.25">
      <c r="A31" s="152"/>
      <c r="B31" s="128"/>
      <c r="C31" s="128"/>
      <c r="D31" s="129" t="s">
        <v>38</v>
      </c>
      <c r="E31" s="129">
        <v>1</v>
      </c>
      <c r="F31" s="133">
        <v>160</v>
      </c>
      <c r="G31" s="131">
        <v>1.8</v>
      </c>
      <c r="H31" s="131">
        <v>0.6</v>
      </c>
      <c r="I31" s="131"/>
      <c r="J31" s="131"/>
      <c r="K31" s="131"/>
      <c r="L31" s="131"/>
      <c r="M31" s="131">
        <f>IF(D31="M2",E31*F31*G31,IF(D31="M3",E31*F31*G31*H31,IF(D31="M",E31*F31,IF(D31="UNIDAD",E31,IF(D31="GLOBAL",E31,0)))))</f>
        <v>172.79999999999998</v>
      </c>
      <c r="N31" s="131"/>
      <c r="O31" s="131"/>
      <c r="P31" s="155">
        <f>IF(D31="GLOBAL",E31,IF(D31="UNIDAD",E31,IF(D31="M2",((K31+L31+M31)-(N31+O31)),IF(D31="M3",((K31+L31+M31)-(N31+O31)),IF(D31="M",((K31+L31+M31)-(N31+O31)),0)))))</f>
        <v>172.79999999999998</v>
      </c>
    </row>
    <row r="32" spans="1:18" x14ac:dyDescent="0.25">
      <c r="A32" s="152"/>
      <c r="B32" s="128"/>
      <c r="C32" s="164"/>
      <c r="D32" s="158"/>
      <c r="E32" s="131"/>
      <c r="F32" s="133"/>
      <c r="G32" s="133"/>
      <c r="H32" s="133"/>
      <c r="I32" s="133"/>
      <c r="J32" s="133"/>
      <c r="K32" s="133"/>
      <c r="L32" s="133"/>
      <c r="M32" s="165"/>
      <c r="N32" s="131"/>
      <c r="O32" s="133"/>
      <c r="P32" s="166">
        <f>IF(D32="GLOBAL",E32,IF(D32="UNIDAD",E32,IF(D32="M2",((K32+L32+M32)-(N32+O32)),IF(D32="M3",((K32+L32+M32)-(N32+O32)),IF(D32="M",((K32+L32+M32)-(N32+O32)),0)))))</f>
        <v>0</v>
      </c>
    </row>
    <row r="33" spans="1:16" ht="15.75" thickBot="1" x14ac:dyDescent="0.3">
      <c r="A33" s="104"/>
      <c r="B33" s="159"/>
      <c r="C33" s="159"/>
      <c r="D33" s="106"/>
      <c r="E33" s="105"/>
      <c r="F33" s="105"/>
      <c r="G33" s="105"/>
      <c r="H33" s="105"/>
      <c r="I33" s="105"/>
      <c r="J33" s="105"/>
      <c r="K33" s="105"/>
      <c r="L33" s="105"/>
      <c r="M33" s="167"/>
      <c r="N33" s="105"/>
      <c r="O33" s="105"/>
      <c r="P33" s="168">
        <f>IF(D33="GLOBAL",E33,IF(D33="UNIDAD",E33,IF(D33="M2",((K33+L33+M33)-(N33+O33)),IF(D33="M3",((K33+L33+M33)-(N33+O33)),IF(D33="M",((K33+L33+M33)-(N33+O33)),0)))))</f>
        <v>0</v>
      </c>
    </row>
    <row r="34" spans="1:16" x14ac:dyDescent="0.25">
      <c r="A34" s="108"/>
      <c r="B34" s="141"/>
      <c r="C34" s="141"/>
      <c r="D34" s="141"/>
      <c r="E34" s="142"/>
      <c r="F34" s="142"/>
      <c r="G34" s="142"/>
      <c r="H34" s="142"/>
      <c r="I34" s="142"/>
      <c r="J34" s="142"/>
      <c r="K34" s="142"/>
      <c r="L34" s="142"/>
      <c r="M34" s="142"/>
      <c r="N34" s="141"/>
      <c r="O34" s="141"/>
      <c r="P34" s="108"/>
    </row>
    <row r="35" spans="1:16" x14ac:dyDescent="0.25">
      <c r="A35" s="169"/>
      <c r="B35" s="143"/>
      <c r="C35" s="163"/>
      <c r="D35" s="144"/>
      <c r="E35" s="108"/>
      <c r="F35" s="108"/>
      <c r="G35" s="145"/>
      <c r="H35" s="108"/>
      <c r="I35" s="108"/>
      <c r="J35" s="108"/>
      <c r="K35" s="108"/>
      <c r="L35" s="108"/>
      <c r="M35" s="145"/>
      <c r="N35" s="108"/>
      <c r="O35" s="108"/>
      <c r="P35" s="145"/>
    </row>
    <row r="36" spans="1:16" ht="15.75" thickBot="1" x14ac:dyDescent="0.3">
      <c r="A36" s="170">
        <v>3</v>
      </c>
      <c r="B36" s="171" t="s">
        <v>40</v>
      </c>
      <c r="C36" s="172"/>
      <c r="D36" s="148"/>
      <c r="E36" s="149"/>
      <c r="F36" s="149"/>
      <c r="G36" s="150"/>
      <c r="H36" s="149"/>
      <c r="I36" s="149"/>
      <c r="J36" s="149"/>
      <c r="K36" s="149"/>
      <c r="L36" s="149"/>
      <c r="M36" s="150"/>
      <c r="N36" s="149"/>
      <c r="O36" s="149"/>
      <c r="P36" s="150"/>
    </row>
    <row r="37" spans="1:16" x14ac:dyDescent="0.25">
      <c r="A37" s="173"/>
      <c r="B37" s="174"/>
      <c r="C37" s="163"/>
      <c r="D37" s="144"/>
      <c r="E37" s="108"/>
      <c r="F37" s="108"/>
      <c r="G37" s="145"/>
      <c r="H37" s="108"/>
      <c r="I37" s="108"/>
      <c r="J37" s="108"/>
      <c r="K37" s="108"/>
      <c r="L37" s="108"/>
      <c r="M37" s="145"/>
      <c r="N37" s="108"/>
      <c r="O37" s="108"/>
      <c r="P37" s="145"/>
    </row>
    <row r="38" spans="1:16" ht="15.6" customHeight="1" thickBot="1" x14ac:dyDescent="0.3">
      <c r="A38" s="169"/>
      <c r="B38" s="175"/>
      <c r="C38" s="175"/>
      <c r="D38" s="143"/>
      <c r="E38" s="142"/>
    </row>
    <row r="39" spans="1:16" ht="63" customHeight="1" x14ac:dyDescent="0.25">
      <c r="A39" s="151">
        <v>3.01</v>
      </c>
      <c r="B39" s="408" t="s">
        <v>41</v>
      </c>
      <c r="C39" s="409"/>
      <c r="D39" s="124" t="s">
        <v>42</v>
      </c>
      <c r="E39" s="410" t="s">
        <v>11</v>
      </c>
      <c r="F39" s="411"/>
      <c r="G39" s="411"/>
      <c r="H39" s="411"/>
      <c r="I39" s="411"/>
      <c r="J39" s="411"/>
      <c r="K39" s="411"/>
      <c r="L39" s="411"/>
      <c r="M39" s="411"/>
      <c r="N39" s="411"/>
      <c r="O39" s="412"/>
      <c r="P39" s="125">
        <f>+ROUND(SUM(P40:P42),2)</f>
        <v>112</v>
      </c>
    </row>
    <row r="40" spans="1:16" ht="14.45" customHeight="1" x14ac:dyDescent="0.25">
      <c r="A40" s="152"/>
      <c r="B40" s="128"/>
      <c r="C40" s="153"/>
      <c r="D40" s="154" t="s">
        <v>42</v>
      </c>
      <c r="E40" s="131">
        <v>1</v>
      </c>
      <c r="F40" s="131">
        <f>40+12*6</f>
        <v>112</v>
      </c>
      <c r="G40" s="131"/>
      <c r="H40" s="131"/>
      <c r="I40" s="131"/>
      <c r="J40" s="131"/>
      <c r="K40" s="131"/>
      <c r="L40" s="131"/>
      <c r="M40" s="165">
        <f>IF(D40="M2",E40*F40*G40,IF(D40="M3",E40*F40*G40*H40,IF(D40="M",E40*F40,IF(D40="UNIDAD",E40,IF(D40="GLOBAL",E40,0)))))</f>
        <v>112</v>
      </c>
      <c r="N40" s="133"/>
      <c r="O40" s="133"/>
      <c r="P40" s="166">
        <f>IF(D40="GLOBAL",E40,IF(D40="UNIDAD",E40,IF(D40="M2",((K40+L40+M40)-(N40+O40)),IF(D40="M3",((K40+L40+M40)-(N40+O40)),IF(D40="M",((K40+L40+M40)-(N40+O40)),0)))))</f>
        <v>112</v>
      </c>
    </row>
    <row r="41" spans="1:16" ht="14.45" customHeight="1" x14ac:dyDescent="0.25">
      <c r="A41" s="156"/>
      <c r="B41" s="157"/>
      <c r="C41" s="176"/>
      <c r="D41" s="177"/>
      <c r="E41" s="178"/>
      <c r="F41" s="178"/>
      <c r="G41" s="178"/>
      <c r="H41" s="178"/>
      <c r="I41" s="178"/>
      <c r="J41" s="178"/>
      <c r="K41" s="178"/>
      <c r="L41" s="178"/>
      <c r="M41" s="165">
        <f>IF(D41="M2",E41*F41*G41,IF(D41="M3",E41*F41*G41*H41,IF(D41="M",E41*F41,IF(D41="UNIDAD",E41,IF(D41="GLOBAL",E41,0)))))</f>
        <v>0</v>
      </c>
      <c r="N41" s="179"/>
      <c r="O41" s="179"/>
      <c r="P41" s="166">
        <f>IF(D41="GLOBAL",E41,IF(D41="UNIDAD",E41,IF(D41="M2",((K41+L41+M41)-(N41+O41)),IF(D41="M3",((K41+L41+M41)-(N41+O41)),IF(D41="M",((K41+L41+M41)-(N41+O41)),0)))))</f>
        <v>0</v>
      </c>
    </row>
    <row r="42" spans="1:16" ht="15.75" thickBot="1" x14ac:dyDescent="0.3">
      <c r="A42" s="104"/>
      <c r="B42" s="159"/>
      <c r="C42" s="180"/>
      <c r="D42" s="181"/>
      <c r="E42" s="138"/>
      <c r="F42" s="138"/>
      <c r="G42" s="161"/>
      <c r="H42" s="105"/>
      <c r="I42" s="105"/>
      <c r="J42" s="105"/>
      <c r="K42" s="105"/>
      <c r="L42" s="105"/>
      <c r="M42" s="167">
        <f>IF(D42="M2",E42*F42*G42,IF(D42="M3",E42*F42*G42*H42,IF(D42="M",E42*F42,IF(D42="UNIDAD",E42,IF(D42="GLOBAL",E42,0)))))</f>
        <v>0</v>
      </c>
      <c r="N42" s="105">
        <f>(2.79*1.29)*E42</f>
        <v>0</v>
      </c>
      <c r="O42" s="105"/>
      <c r="P42" s="168">
        <f>IF(D42="GLOBAL",E42,IF(D42="UNIDAD",E42,IF(D42="M2",((K42+L42+M42)-(N42+O42)),IF(D42="M3",((K42+L42+M42)-(N42+O42)),IF(D42="M",((K42+L42+M42)-(N42+O42)),0)))))</f>
        <v>0</v>
      </c>
    </row>
    <row r="43" spans="1:16" ht="15.75" thickBot="1" x14ac:dyDescent="0.3">
      <c r="A43" s="169"/>
      <c r="B43" s="143"/>
      <c r="C43" s="163"/>
      <c r="D43" s="144"/>
      <c r="E43" s="108"/>
      <c r="F43" s="108"/>
      <c r="G43" s="145"/>
      <c r="H43" s="108"/>
      <c r="I43" s="108"/>
      <c r="J43" s="108"/>
      <c r="K43" s="108"/>
      <c r="L43" s="108"/>
      <c r="M43" s="145"/>
      <c r="N43" s="108"/>
      <c r="O43" s="108"/>
      <c r="P43" s="145"/>
    </row>
    <row r="44" spans="1:16" ht="63" customHeight="1" x14ac:dyDescent="0.25">
      <c r="A44" s="182">
        <v>3.02</v>
      </c>
      <c r="B44" s="415" t="s">
        <v>43</v>
      </c>
      <c r="C44" s="416"/>
      <c r="D44" s="183" t="s">
        <v>44</v>
      </c>
      <c r="E44" s="417" t="s">
        <v>11</v>
      </c>
      <c r="F44" s="418"/>
      <c r="G44" s="418"/>
      <c r="H44" s="418"/>
      <c r="I44" s="418"/>
      <c r="J44" s="418"/>
      <c r="K44" s="418"/>
      <c r="L44" s="418"/>
      <c r="M44" s="418"/>
      <c r="N44" s="418"/>
      <c r="O44" s="419"/>
      <c r="P44" s="184">
        <f>+ROUND(SUM(P45:P48),2)</f>
        <v>17.920000000000002</v>
      </c>
    </row>
    <row r="45" spans="1:16" ht="14.45" customHeight="1" x14ac:dyDescent="0.25">
      <c r="A45" s="152"/>
      <c r="B45" s="128"/>
      <c r="C45" s="153" t="s">
        <v>45</v>
      </c>
      <c r="D45" s="154" t="s">
        <v>38</v>
      </c>
      <c r="E45" s="131">
        <v>1</v>
      </c>
      <c r="F45" s="131">
        <v>112</v>
      </c>
      <c r="G45" s="131">
        <v>0.4</v>
      </c>
      <c r="H45" s="131">
        <v>0.4</v>
      </c>
      <c r="I45" s="131"/>
      <c r="J45" s="131"/>
      <c r="K45" s="131"/>
      <c r="L45" s="131"/>
      <c r="M45" s="165">
        <f>IF(D45="M2",E45*F45*G45,IF(D45="M3",E45*F45*G45*H45,IF(D45="M",E45*F45,IF(D45="UNIDAD",E45,IF(D45="GLOBAL",E45,0)))))</f>
        <v>17.920000000000002</v>
      </c>
      <c r="N45" s="133"/>
      <c r="O45" s="133"/>
      <c r="P45" s="166">
        <f t="shared" ref="P45:P47" si="1">IF(D45="GLOBAL",E45,IF(D45="UNIDAD",E45,IF(D45="M2",((K45+L45+M45)-(N45+O45)),IF(D45="M3",((K45+L45+M45)-(N45+O45)),IF(D45="M",((K45+L45+M45)-(N45+O45)),0)))))</f>
        <v>17.920000000000002</v>
      </c>
    </row>
    <row r="46" spans="1:16" ht="14.45" customHeight="1" x14ac:dyDescent="0.25">
      <c r="A46" s="156"/>
      <c r="B46" s="157"/>
      <c r="C46" s="153"/>
      <c r="D46" s="154"/>
      <c r="E46" s="133"/>
      <c r="F46" s="133"/>
      <c r="G46" s="133"/>
      <c r="H46" s="133"/>
      <c r="I46" s="133"/>
      <c r="J46" s="133"/>
      <c r="K46" s="133"/>
      <c r="L46" s="133"/>
      <c r="M46" s="165">
        <f t="shared" ref="M46:M48" si="2">IF(D46="M2",E46*F46*G46,IF(D46="M3",E46*F46*G46*H46,IF(D46="M",E46*F46,IF(D46="UNIDAD",E46,IF(D46="GLOBAL",E46,0)))))</f>
        <v>0</v>
      </c>
      <c r="N46" s="133"/>
      <c r="O46" s="133"/>
      <c r="P46" s="166">
        <f t="shared" si="1"/>
        <v>0</v>
      </c>
    </row>
    <row r="47" spans="1:16" ht="14.45" customHeight="1" x14ac:dyDescent="0.25">
      <c r="A47" s="156"/>
      <c r="B47" s="157"/>
      <c r="C47" s="153"/>
      <c r="D47" s="154"/>
      <c r="E47" s="133"/>
      <c r="F47" s="133"/>
      <c r="G47" s="133"/>
      <c r="H47" s="133"/>
      <c r="I47" s="133"/>
      <c r="J47" s="133"/>
      <c r="K47" s="133"/>
      <c r="L47" s="133"/>
      <c r="M47" s="165">
        <f t="shared" si="2"/>
        <v>0</v>
      </c>
      <c r="N47" s="133"/>
      <c r="O47" s="133"/>
      <c r="P47" s="166">
        <f t="shared" si="1"/>
        <v>0</v>
      </c>
    </row>
    <row r="48" spans="1:16" ht="15.75" thickBot="1" x14ac:dyDescent="0.3">
      <c r="A48" s="104"/>
      <c r="B48" s="159"/>
      <c r="C48" s="180"/>
      <c r="D48" s="181"/>
      <c r="E48" s="138"/>
      <c r="F48" s="138"/>
      <c r="G48" s="161"/>
      <c r="H48" s="138"/>
      <c r="I48" s="138"/>
      <c r="J48" s="138"/>
      <c r="K48" s="138"/>
      <c r="L48" s="138"/>
      <c r="M48" s="167">
        <f t="shared" si="2"/>
        <v>0</v>
      </c>
      <c r="N48" s="138">
        <f>(2.79*1.29)*E48</f>
        <v>0</v>
      </c>
      <c r="O48" s="138"/>
      <c r="P48" s="168">
        <f>IF(D48="GLOBAL",E48,IF(D48="UNIDAD",E48,IF(D48="M2",((K48+L48+M48)-(N48+O48)),IF(D48="M3",((K48+L48+M48)-(N48+O48)),IF(D48="M",((K48+L48+M48)-(N48+O48)),0)))))</f>
        <v>0</v>
      </c>
    </row>
    <row r="49" spans="1:18" ht="15.75" thickBot="1" x14ac:dyDescent="0.3">
      <c r="A49" s="108"/>
      <c r="B49" s="141"/>
      <c r="C49" s="141"/>
      <c r="D49" s="141"/>
      <c r="E49" s="142"/>
      <c r="F49" s="142"/>
      <c r="G49" s="142"/>
      <c r="H49" s="142"/>
      <c r="I49" s="142"/>
      <c r="J49" s="142"/>
      <c r="K49" s="142"/>
      <c r="L49" s="142"/>
      <c r="M49" s="142"/>
      <c r="N49" s="141"/>
      <c r="O49" s="141"/>
      <c r="P49" s="108"/>
    </row>
    <row r="50" spans="1:18" ht="63" customHeight="1" x14ac:dyDescent="0.25">
      <c r="A50" s="151">
        <v>3.03</v>
      </c>
      <c r="B50" s="408" t="s">
        <v>46</v>
      </c>
      <c r="C50" s="409"/>
      <c r="D50" s="124" t="s">
        <v>38</v>
      </c>
      <c r="E50" s="410" t="s">
        <v>11</v>
      </c>
      <c r="F50" s="411"/>
      <c r="G50" s="411"/>
      <c r="H50" s="411"/>
      <c r="I50" s="411"/>
      <c r="J50" s="411"/>
      <c r="K50" s="411"/>
      <c r="L50" s="411"/>
      <c r="M50" s="411"/>
      <c r="N50" s="411"/>
      <c r="O50" s="412"/>
      <c r="P50" s="125">
        <f>+ROUND(SUM(P51:P55),2)</f>
        <v>17.920000000000002</v>
      </c>
    </row>
    <row r="51" spans="1:18" ht="14.45" customHeight="1" x14ac:dyDescent="0.25">
      <c r="A51" s="152" t="s">
        <v>47</v>
      </c>
      <c r="B51" s="128"/>
      <c r="C51" s="128" t="s">
        <v>48</v>
      </c>
      <c r="D51" s="185" t="s">
        <v>38</v>
      </c>
      <c r="E51" s="185">
        <v>1</v>
      </c>
      <c r="F51" s="130">
        <v>112</v>
      </c>
      <c r="G51" s="131">
        <v>0.4</v>
      </c>
      <c r="H51" s="131">
        <v>0.4</v>
      </c>
      <c r="I51" s="131"/>
      <c r="J51" s="131"/>
      <c r="K51" s="131"/>
      <c r="L51" s="131"/>
      <c r="M51" s="165">
        <f t="shared" ref="M51" si="3">IF(D51="M2",E51*F51*G51,IF(D51="M3",E51*F51*G51*H51,IF(D51="M",E51*F51,IF(D51="UNIDAD",E51,IF(D51="GLOBAL",E51,0)))))</f>
        <v>17.920000000000002</v>
      </c>
      <c r="N51" s="133"/>
      <c r="O51" s="133"/>
      <c r="P51" s="166">
        <f>+M51</f>
        <v>17.920000000000002</v>
      </c>
    </row>
    <row r="52" spans="1:18" ht="14.45" customHeight="1" x14ac:dyDescent="0.25">
      <c r="A52" s="156"/>
      <c r="B52" s="157"/>
      <c r="C52" s="186"/>
      <c r="D52" s="185"/>
      <c r="E52" s="185"/>
      <c r="F52" s="187"/>
      <c r="G52" s="178"/>
      <c r="H52" s="178"/>
      <c r="I52" s="178"/>
      <c r="J52" s="178"/>
      <c r="K52" s="178"/>
      <c r="L52" s="178"/>
      <c r="M52" s="165">
        <f>IF(D52="M2",E52*F52*G52,IF(D52="KG",E52*F52*G52*H52,IF(D52="M",E52*F52,IF(D52="UNIDAD",E52,IF(D52="GLOBAL",E52,0)))))</f>
        <v>0</v>
      </c>
      <c r="N52" s="133">
        <f>+G52*F52*E52</f>
        <v>0</v>
      </c>
      <c r="O52" s="179"/>
      <c r="P52" s="166">
        <f>+M52</f>
        <v>0</v>
      </c>
    </row>
    <row r="53" spans="1:18" ht="14.45" customHeight="1" x14ac:dyDescent="0.25">
      <c r="A53" s="156"/>
      <c r="B53" s="157"/>
      <c r="C53" s="128"/>
      <c r="D53" s="185"/>
      <c r="E53" s="185"/>
      <c r="F53" s="165"/>
      <c r="G53" s="133"/>
      <c r="H53" s="133"/>
      <c r="I53" s="178"/>
      <c r="J53" s="178"/>
      <c r="K53" s="178"/>
      <c r="L53" s="178"/>
      <c r="M53" s="165">
        <f t="shared" ref="M53:M54" si="4">IF(D53="M2",E53*F53*G53,IF(D53="M3",E53*F53*G53*H53,IF(D53="M",E53*F53,IF(D53="UNIDAD",E53,IF(D53="GLOBAL",E53,0)))))</f>
        <v>0</v>
      </c>
      <c r="N53" s="179"/>
      <c r="O53" s="179"/>
      <c r="P53" s="166">
        <f t="shared" ref="P53:P54" si="5">IF(D53="GLOBAL",E53,IF(D53="UNIDAD",E53,IF(D53="M2",((K53+L53+M53)-(N53+O53)),IF(D53="M3",((K53+L53+M53)-(N53+O53)),IF(D53="M",((K53+L53+M53)-(N53+O53)),0)))))</f>
        <v>0</v>
      </c>
    </row>
    <row r="54" spans="1:18" ht="14.45" customHeight="1" x14ac:dyDescent="0.25">
      <c r="A54" s="156"/>
      <c r="B54" s="157"/>
      <c r="C54" s="186"/>
      <c r="D54" s="185"/>
      <c r="E54" s="185"/>
      <c r="F54" s="165"/>
      <c r="G54" s="133"/>
      <c r="H54" s="133"/>
      <c r="I54" s="178"/>
      <c r="J54" s="178"/>
      <c r="K54" s="178"/>
      <c r="L54" s="178"/>
      <c r="M54" s="165">
        <f t="shared" si="4"/>
        <v>0</v>
      </c>
      <c r="N54" s="179"/>
      <c r="O54" s="179"/>
      <c r="P54" s="166">
        <f t="shared" si="5"/>
        <v>0</v>
      </c>
    </row>
    <row r="55" spans="1:18" ht="15.75" thickBot="1" x14ac:dyDescent="0.3">
      <c r="A55" s="104"/>
      <c r="B55" s="159"/>
      <c r="C55" s="180"/>
      <c r="D55" s="181"/>
      <c r="E55" s="138"/>
      <c r="F55" s="138"/>
      <c r="G55" s="161"/>
      <c r="H55" s="138"/>
      <c r="I55" s="105"/>
      <c r="J55" s="105"/>
      <c r="K55" s="105"/>
      <c r="L55" s="105"/>
      <c r="M55" s="167">
        <f>IF(D55="M2",E55*F55*G55,IF(D55="M3",E55*F55*G55*H55,IF(D55="M",E55*F55,IF(D55="UNIDAD",E55,IF(D55="GLOBAL",E55,0)))))</f>
        <v>0</v>
      </c>
      <c r="N55" s="105">
        <f>(2.79*1.29)*E55</f>
        <v>0</v>
      </c>
      <c r="O55" s="105"/>
      <c r="P55" s="168">
        <f>IF(D55="GLOBAL",E55,IF(D55="UNIDAD",E55,IF(D55="M2",((K55+L55+M55)-(N55+O55)),IF(D55="M3",((K55+L55+M55)-(N55+O55)),IF(D55="M",((K55+L55+M55)-(N55+O55)),0)))))</f>
        <v>0</v>
      </c>
    </row>
    <row r="56" spans="1:18" ht="15.75" thickBot="1" x14ac:dyDescent="0.3">
      <c r="A56" s="169"/>
      <c r="B56" s="143"/>
      <c r="C56" s="163"/>
      <c r="D56" s="144"/>
      <c r="E56" s="108"/>
      <c r="F56" s="108"/>
      <c r="G56" s="145"/>
      <c r="H56" s="108"/>
      <c r="I56" s="108"/>
      <c r="J56" s="108"/>
      <c r="K56" s="108"/>
      <c r="L56" s="108"/>
      <c r="M56" s="145"/>
      <c r="N56" s="108"/>
      <c r="O56" s="108"/>
      <c r="P56" s="145"/>
    </row>
    <row r="57" spans="1:18" ht="15.75" thickBot="1" x14ac:dyDescent="0.3">
      <c r="A57" s="188">
        <v>4</v>
      </c>
      <c r="B57" s="189" t="s">
        <v>49</v>
      </c>
      <c r="C57" s="190"/>
      <c r="D57" s="111"/>
      <c r="E57" s="112"/>
      <c r="F57" s="113"/>
      <c r="G57" s="113"/>
      <c r="H57" s="113"/>
      <c r="I57" s="113"/>
      <c r="J57" s="113"/>
      <c r="K57" s="113"/>
      <c r="L57" s="113"/>
      <c r="M57" s="113"/>
      <c r="N57" s="115"/>
      <c r="O57" s="115"/>
      <c r="P57" s="115"/>
    </row>
    <row r="58" spans="1:18" ht="15.75" thickBot="1" x14ac:dyDescent="0.3">
      <c r="A58" s="169"/>
      <c r="B58" s="175"/>
      <c r="C58" s="175"/>
      <c r="D58" s="143"/>
      <c r="E58" s="142"/>
    </row>
    <row r="59" spans="1:18" ht="55.7" customHeight="1" x14ac:dyDescent="0.25">
      <c r="A59" s="151">
        <v>4.01</v>
      </c>
      <c r="B59" s="408" t="s">
        <v>50</v>
      </c>
      <c r="C59" s="409"/>
      <c r="D59" s="124" t="s">
        <v>51</v>
      </c>
      <c r="E59" s="410" t="s">
        <v>11</v>
      </c>
      <c r="F59" s="411"/>
      <c r="G59" s="411"/>
      <c r="H59" s="411"/>
      <c r="I59" s="411"/>
      <c r="J59" s="411"/>
      <c r="K59" s="411"/>
      <c r="L59" s="411"/>
      <c r="M59" s="411"/>
      <c r="N59" s="411"/>
      <c r="O59" s="412"/>
      <c r="P59" s="125">
        <f>+ROUND(SUM(P60:P62),2)</f>
        <v>9</v>
      </c>
    </row>
    <row r="60" spans="1:18" ht="14.45" customHeight="1" x14ac:dyDescent="0.25">
      <c r="A60" s="152"/>
      <c r="B60" s="128"/>
      <c r="C60" s="153"/>
      <c r="D60" s="154" t="s">
        <v>52</v>
      </c>
      <c r="E60" s="131">
        <v>9</v>
      </c>
      <c r="F60" s="131"/>
      <c r="G60" s="131"/>
      <c r="H60" s="131"/>
      <c r="I60" s="131"/>
      <c r="J60" s="131"/>
      <c r="K60" s="131"/>
      <c r="L60" s="131"/>
      <c r="M60" s="165">
        <f>IF(D60="M2",E60*F60*G60,IF(D60="M3",E60*F60*G60*H60,IF(D60="M",E60*F60,IF(D60="UNIDAD",E60,IF(D60="GLOBAL",E60,0)))))</f>
        <v>0</v>
      </c>
      <c r="N60" s="133"/>
      <c r="O60" s="133"/>
      <c r="P60" s="166">
        <f>IF(D60="GLOBAL",E60,IF(D60="UND",E60,IF(D60="M2",((K60+L60+M60)-(N60+O60)),IF(D60="M3",((K60+L60+M60)-(N60+O60)),IF(D60="M",((K60+L60+M60)-(N60+O60)),0)))))</f>
        <v>9</v>
      </c>
    </row>
    <row r="61" spans="1:18" ht="14.45" customHeight="1" x14ac:dyDescent="0.25">
      <c r="A61" s="156"/>
      <c r="B61" s="157"/>
      <c r="C61" s="176"/>
      <c r="D61" s="177"/>
      <c r="E61" s="178"/>
      <c r="F61" s="178"/>
      <c r="G61" s="178"/>
      <c r="H61" s="178"/>
      <c r="I61" s="178"/>
      <c r="J61" s="178"/>
      <c r="K61" s="178"/>
      <c r="L61" s="178"/>
      <c r="M61" s="165">
        <f>IF(D61="M2",E61*F61*G61,IF(D61="M3",E61*F61*G61*H61,IF(D61="M",E61*F61,IF(D61="UNIDAD",E61,IF(D61="GLOBAL",E61,0)))))</f>
        <v>0</v>
      </c>
      <c r="N61" s="179"/>
      <c r="O61" s="179"/>
      <c r="P61" s="166">
        <f>IF(D61="GLOBAL",E61,IF(D61="UNIDAD",E61,IF(D61="M2",((K61+L61+M61)-(N61+O61)),IF(D61="M3",((K61+L61+M61)-(N61+O61)),IF(D61="M",((K61+L61+M61)-(N61+O61)),0)))))</f>
        <v>0</v>
      </c>
    </row>
    <row r="62" spans="1:18" ht="15.75" thickBot="1" x14ac:dyDescent="0.3">
      <c r="A62" s="104"/>
      <c r="B62" s="159"/>
      <c r="C62" s="180"/>
      <c r="D62" s="181"/>
      <c r="E62" s="138"/>
      <c r="F62" s="138"/>
      <c r="G62" s="161"/>
      <c r="H62" s="105"/>
      <c r="I62" s="105"/>
      <c r="J62" s="105"/>
      <c r="K62" s="105"/>
      <c r="L62" s="105"/>
      <c r="M62" s="167">
        <f>IF(D62="M2",E62*F62*G62,IF(D62="M3",E62*F62*G62*H62,IF(D62="M",E62*F62,IF(D62="UNIDAD",E62,IF(D62="GLOBAL",E62,0)))))</f>
        <v>0</v>
      </c>
      <c r="N62" s="105">
        <f>(2.79*1.29)*E62</f>
        <v>0</v>
      </c>
      <c r="O62" s="105"/>
      <c r="P62" s="168">
        <f>IF(D62="GLOBAL",E62,IF(D62="UNIDAD",E62,IF(D62="M2",((K62+L62+M62)-(N62+O62)),IF(D62="M3",((K62+L62+M62)-(N62+O62)),IF(D62="M",((K62+L62+M62)-(N62+O62)),0)))))</f>
        <v>0</v>
      </c>
    </row>
    <row r="63" spans="1:18" ht="15.75" thickBot="1" x14ac:dyDescent="0.3">
      <c r="A63" s="108"/>
      <c r="B63" s="141"/>
      <c r="C63" s="141"/>
      <c r="D63" s="141"/>
      <c r="E63" s="142"/>
      <c r="F63" s="142"/>
      <c r="G63" s="142"/>
      <c r="H63" s="142"/>
      <c r="I63" s="142"/>
      <c r="J63" s="142"/>
      <c r="K63" s="142"/>
      <c r="L63" s="142"/>
      <c r="M63" s="142"/>
      <c r="N63" s="141"/>
      <c r="O63" s="141"/>
      <c r="P63" s="108"/>
    </row>
    <row r="64" spans="1:18" ht="63" customHeight="1" x14ac:dyDescent="0.25">
      <c r="A64" s="151"/>
      <c r="B64" s="408" t="s">
        <v>46</v>
      </c>
      <c r="C64" s="409"/>
      <c r="D64" s="124" t="s">
        <v>38</v>
      </c>
      <c r="E64" s="410" t="s">
        <v>11</v>
      </c>
      <c r="F64" s="411"/>
      <c r="G64" s="411"/>
      <c r="H64" s="411"/>
      <c r="I64" s="411"/>
      <c r="J64" s="411"/>
      <c r="K64" s="411"/>
      <c r="L64" s="411"/>
      <c r="M64" s="411"/>
      <c r="N64" s="411"/>
      <c r="O64" s="412"/>
      <c r="P64" s="125">
        <f>+ROUND(SUM(P65:P67),2)</f>
        <v>1.73</v>
      </c>
      <c r="R64" s="101">
        <f>12*0.4*0.4*3</f>
        <v>5.7600000000000016</v>
      </c>
    </row>
    <row r="65" spans="1:18" ht="14.45" customHeight="1" x14ac:dyDescent="0.25">
      <c r="A65" s="152"/>
      <c r="B65" s="128"/>
      <c r="C65" s="128"/>
      <c r="D65" s="185" t="s">
        <v>53</v>
      </c>
      <c r="E65" s="185">
        <v>9</v>
      </c>
      <c r="F65" s="130">
        <v>1.2</v>
      </c>
      <c r="G65" s="131">
        <v>0.4</v>
      </c>
      <c r="H65" s="131">
        <v>0.4</v>
      </c>
      <c r="I65" s="131"/>
      <c r="J65" s="131"/>
      <c r="K65" s="131"/>
      <c r="L65" s="131"/>
      <c r="M65" s="165">
        <f t="shared" ref="M65" si="6">IF(D65="M2",E65*F65*G65,IF(D65="M3",E65*F65*G65*H65,IF(D65="M",E65*F65,IF(D65="UNIDAD",E65,IF(D65="GLOBAL",E65,0)))))</f>
        <v>1.7279999999999998</v>
      </c>
      <c r="N65" s="133"/>
      <c r="O65" s="133"/>
      <c r="P65" s="166">
        <f>+M65</f>
        <v>1.7279999999999998</v>
      </c>
    </row>
    <row r="66" spans="1:18" ht="14.45" customHeight="1" x14ac:dyDescent="0.25">
      <c r="A66" s="156"/>
      <c r="B66" s="157"/>
      <c r="C66" s="186"/>
      <c r="D66" s="185"/>
      <c r="E66" s="185"/>
      <c r="F66" s="165"/>
      <c r="G66" s="133"/>
      <c r="H66" s="133"/>
      <c r="I66" s="178"/>
      <c r="J66" s="178"/>
      <c r="K66" s="178"/>
      <c r="L66" s="178"/>
      <c r="M66" s="165">
        <f>IF(D66="M2",E66*F66*G66,IF(D66="KG",E66*F66*G66*H66,IF(D66="M",E66*F66,IF(D66="UNIDAD",E66,IF(D66="GLOBAL",E66,0)))))</f>
        <v>0</v>
      </c>
      <c r="N66" s="133">
        <f>+G66*F66*E66</f>
        <v>0</v>
      </c>
      <c r="O66" s="179"/>
      <c r="P66" s="166">
        <f>+M66</f>
        <v>0</v>
      </c>
    </row>
    <row r="67" spans="1:18" ht="15.75" thickBot="1" x14ac:dyDescent="0.3">
      <c r="A67" s="104"/>
      <c r="B67" s="159"/>
      <c r="C67" s="180"/>
      <c r="D67" s="181"/>
      <c r="E67" s="138"/>
      <c r="F67" s="138"/>
      <c r="G67" s="161"/>
      <c r="H67" s="138"/>
      <c r="I67" s="105"/>
      <c r="J67" s="105"/>
      <c r="K67" s="105"/>
      <c r="L67" s="105"/>
      <c r="M67" s="167">
        <f>IF(D67="M2",E67*F67*G67,IF(D67="M3",E67*F67*G67*H67,IF(D67="M",E67*F67,IF(D67="UNIDAD",E67,IF(D67="GLOBAL",E67,0)))))</f>
        <v>0</v>
      </c>
      <c r="N67" s="105">
        <f>(2.79*1.29)*E67</f>
        <v>0</v>
      </c>
      <c r="O67" s="105"/>
      <c r="P67" s="168">
        <f>IF(D67="GLOBAL",E67,IF(D67="UNIDAD",E67,IF(D67="M2",((K67+L67+M67)-(N67+O67)),IF(D67="M3",((K67+L67+M67)-(N67+O67)),IF(D67="M",((K67+L67+M67)-(N67+O67)),0)))))</f>
        <v>0</v>
      </c>
    </row>
    <row r="68" spans="1:18" ht="15.75" thickBot="1" x14ac:dyDescent="0.3">
      <c r="A68" s="169"/>
      <c r="B68" s="143"/>
      <c r="C68" s="163"/>
      <c r="D68" s="144"/>
      <c r="E68" s="108"/>
      <c r="F68" s="108"/>
      <c r="G68" s="145"/>
      <c r="H68" s="108"/>
      <c r="I68" s="108"/>
      <c r="J68" s="108"/>
      <c r="K68" s="108"/>
      <c r="L68" s="108"/>
      <c r="M68" s="145"/>
      <c r="N68" s="108"/>
      <c r="O68" s="108"/>
      <c r="P68" s="145"/>
    </row>
    <row r="69" spans="1:18" ht="48.2" customHeight="1" x14ac:dyDescent="0.25">
      <c r="A69" s="151"/>
      <c r="B69" s="413" t="s">
        <v>54</v>
      </c>
      <c r="C69" s="414"/>
      <c r="D69" s="124" t="s">
        <v>51</v>
      </c>
      <c r="E69" s="410" t="s">
        <v>11</v>
      </c>
      <c r="F69" s="411"/>
      <c r="G69" s="411"/>
      <c r="H69" s="411"/>
      <c r="I69" s="411"/>
      <c r="J69" s="411"/>
      <c r="K69" s="411"/>
      <c r="L69" s="411"/>
      <c r="M69" s="411"/>
      <c r="N69" s="411"/>
      <c r="O69" s="412"/>
      <c r="P69" s="125">
        <f>+ROUND(SUM(P70:P72),2)</f>
        <v>9</v>
      </c>
      <c r="R69" s="101">
        <f>12*0.4*0.4*3</f>
        <v>5.7600000000000016</v>
      </c>
    </row>
    <row r="70" spans="1:18" ht="14.45" customHeight="1" x14ac:dyDescent="0.25">
      <c r="A70" s="152" t="s">
        <v>47</v>
      </c>
      <c r="B70" s="128"/>
      <c r="C70" s="128"/>
      <c r="D70" s="185" t="s">
        <v>55</v>
      </c>
      <c r="E70" s="185">
        <v>9</v>
      </c>
      <c r="F70" s="130">
        <v>2</v>
      </c>
      <c r="G70" s="131">
        <v>0.4</v>
      </c>
      <c r="H70" s="131">
        <v>0.4</v>
      </c>
      <c r="I70" s="131"/>
      <c r="J70" s="131"/>
      <c r="K70" s="131"/>
      <c r="L70" s="131"/>
      <c r="M70" s="165">
        <f>IF(D70="M2",E70*F70*G70,IF(D70="M3",E70*F70*G70*H70,IF(D70="M",E70*F70,IF(D70="UND",E70,IF(D70="GLOBAL",E70,0)))))</f>
        <v>9</v>
      </c>
      <c r="N70" s="133"/>
      <c r="O70" s="133"/>
      <c r="P70" s="166">
        <f>+M70</f>
        <v>9</v>
      </c>
    </row>
    <row r="71" spans="1:18" ht="14.45" customHeight="1" x14ac:dyDescent="0.25">
      <c r="A71" s="156"/>
      <c r="B71" s="157"/>
      <c r="C71" s="186"/>
      <c r="D71" s="185"/>
      <c r="E71" s="185"/>
      <c r="F71" s="165"/>
      <c r="G71" s="133"/>
      <c r="H71" s="133"/>
      <c r="I71" s="178"/>
      <c r="J71" s="178"/>
      <c r="K71" s="178"/>
      <c r="L71" s="178"/>
      <c r="M71" s="165">
        <f>IF(D71="M2",E71*F71*G71,IF(D71="KG",E71*F71*G71*H71,IF(D71="M",E71*F71,IF(D71="UNIDAD",E71,IF(D71="GLOBAL",E71,0)))))</f>
        <v>0</v>
      </c>
      <c r="N71" s="133">
        <f>+G71*F71*E71</f>
        <v>0</v>
      </c>
      <c r="O71" s="179"/>
      <c r="P71" s="166">
        <f>+M71</f>
        <v>0</v>
      </c>
    </row>
    <row r="72" spans="1:18" ht="15.75" thickBot="1" x14ac:dyDescent="0.3">
      <c r="A72" s="104"/>
      <c r="B72" s="159"/>
      <c r="C72" s="180"/>
      <c r="D72" s="181"/>
      <c r="E72" s="138"/>
      <c r="F72" s="138"/>
      <c r="G72" s="161"/>
      <c r="H72" s="138"/>
      <c r="I72" s="105"/>
      <c r="J72" s="105"/>
      <c r="K72" s="105"/>
      <c r="L72" s="105"/>
      <c r="M72" s="167">
        <f>IF(D72="M2",E72*F72*G72,IF(D72="M3",E72*F72*G72*H72,IF(D72="M",E72*F72,IF(D72="UNIDAD",E72,IF(D72="GLOBAL",E72,0)))))</f>
        <v>0</v>
      </c>
      <c r="N72" s="105">
        <f>(2.79*1.29)*E72</f>
        <v>0</v>
      </c>
      <c r="O72" s="105"/>
      <c r="P72" s="168">
        <f>IF(D72="GLOBAL",E72,IF(D72="UNIDAD",E72,IF(D72="M2",((K72+L72+M72)-(N72+O72)),IF(D72="M3",((K72+L72+M72)-(N72+O72)),IF(D72="M",((K72+L72+M72)-(N72+O72)),0)))))</f>
        <v>0</v>
      </c>
    </row>
    <row r="73" spans="1:18" ht="15.75" thickBot="1" x14ac:dyDescent="0.3">
      <c r="A73" s="169"/>
      <c r="B73" s="143"/>
      <c r="C73" s="163"/>
      <c r="D73" s="144"/>
      <c r="E73" s="108"/>
      <c r="F73" s="108"/>
      <c r="G73" s="145"/>
      <c r="H73" s="108"/>
      <c r="I73" s="108"/>
      <c r="J73" s="108"/>
      <c r="K73" s="108"/>
      <c r="L73" s="108"/>
      <c r="M73" s="145"/>
      <c r="N73" s="108"/>
      <c r="O73" s="108"/>
      <c r="P73" s="145"/>
    </row>
    <row r="74" spans="1:18" ht="15.75" thickBot="1" x14ac:dyDescent="0.3">
      <c r="A74" s="188">
        <v>5</v>
      </c>
      <c r="B74" s="189" t="s">
        <v>56</v>
      </c>
      <c r="C74" s="190"/>
      <c r="D74" s="111"/>
      <c r="E74" s="112"/>
      <c r="F74" s="113"/>
      <c r="G74" s="113"/>
      <c r="H74" s="113"/>
      <c r="I74" s="113"/>
      <c r="J74" s="113"/>
      <c r="K74" s="113"/>
      <c r="L74" s="113"/>
      <c r="M74" s="113"/>
      <c r="N74" s="115"/>
      <c r="O74" s="115"/>
      <c r="P74" s="115"/>
    </row>
    <row r="75" spans="1:18" ht="15.75" thickBot="1" x14ac:dyDescent="0.3">
      <c r="A75" s="169"/>
      <c r="B75" s="175"/>
      <c r="C75" s="175"/>
      <c r="D75" s="143"/>
      <c r="E75" s="142"/>
    </row>
    <row r="76" spans="1:18" ht="32.450000000000003" customHeight="1" x14ac:dyDescent="0.25">
      <c r="A76" s="151">
        <v>5.01</v>
      </c>
      <c r="B76" s="408" t="s">
        <v>57</v>
      </c>
      <c r="C76" s="409"/>
      <c r="D76" s="124" t="s">
        <v>34</v>
      </c>
      <c r="E76" s="410" t="s">
        <v>11</v>
      </c>
      <c r="F76" s="411"/>
      <c r="G76" s="411"/>
      <c r="H76" s="411"/>
      <c r="I76" s="411"/>
      <c r="J76" s="411"/>
      <c r="K76" s="411"/>
      <c r="L76" s="411"/>
      <c r="M76" s="411"/>
      <c r="N76" s="411"/>
      <c r="O76" s="412"/>
      <c r="P76" s="125">
        <f>+ROUND(SUM(P77:P79),2)</f>
        <v>2109</v>
      </c>
    </row>
    <row r="77" spans="1:18" ht="14.45" customHeight="1" x14ac:dyDescent="0.25">
      <c r="A77" s="152"/>
      <c r="B77" s="128"/>
      <c r="C77" s="153"/>
      <c r="D77" s="154" t="s">
        <v>34</v>
      </c>
      <c r="E77" s="131">
        <v>1</v>
      </c>
      <c r="F77" s="131">
        <v>37</v>
      </c>
      <c r="G77" s="131">
        <v>57</v>
      </c>
      <c r="H77" s="131"/>
      <c r="I77" s="131"/>
      <c r="J77" s="131"/>
      <c r="K77" s="131"/>
      <c r="L77" s="131"/>
      <c r="M77" s="165">
        <f>IF(D77="M2",E77*F77*G77,IF(D77="M3",E77*F77*G77*H77,IF(D77="M",E77*F77,IF(D77="UNIDAD",E77,IF(D77="GLOBAL",E77,0)))))</f>
        <v>2109</v>
      </c>
      <c r="N77" s="133"/>
      <c r="O77" s="133"/>
      <c r="P77" s="166">
        <f>IF(D77="GLOBAL",E77,IF(D77="UNIDAD",E77,IF(D77="M2",((K77+L77+M77)-(N77+O77)),IF(D77="M3",((K77+L77+M77)-(N77+O77)),IF(D77="M",((K77+L77+M77)-(N77+O77)),0)))))</f>
        <v>2109</v>
      </c>
    </row>
    <row r="78" spans="1:18" ht="14.45" customHeight="1" x14ac:dyDescent="0.25">
      <c r="A78" s="156"/>
      <c r="B78" s="157"/>
      <c r="C78" s="153"/>
      <c r="D78" s="158"/>
      <c r="E78" s="133"/>
      <c r="F78" s="133"/>
      <c r="G78" s="133"/>
      <c r="H78" s="133"/>
      <c r="I78" s="178"/>
      <c r="J78" s="178"/>
      <c r="K78" s="178"/>
      <c r="L78" s="178"/>
      <c r="M78" s="165">
        <f>IF(D78="M2",E78*F78*G78,IF(D78="M3",E78*F78*G78*H78,IF(D78="M",E78*F78,IF(D78="UNIDAD",E78,IF(D78="GLOBAL",E78,0)))))</f>
        <v>0</v>
      </c>
      <c r="N78" s="179"/>
      <c r="O78" s="179"/>
      <c r="P78" s="166">
        <f>IF(D78="GLOBAL",E78,IF(D78="UNIDAD",E78,IF(D78="M2",((K78+L78+M78)-(N78+O78)),IF(D78="M3",((K78+L78+M78)-(N78+O78)),IF(D78="M",((K78+L78+M78)-(N78+O78)),0)))))</f>
        <v>0</v>
      </c>
    </row>
    <row r="79" spans="1:18" ht="15.75" thickBot="1" x14ac:dyDescent="0.3">
      <c r="A79" s="104"/>
      <c r="B79" s="159"/>
      <c r="C79" s="180"/>
      <c r="D79" s="181"/>
      <c r="E79" s="138"/>
      <c r="F79" s="138"/>
      <c r="G79" s="161"/>
      <c r="H79" s="138"/>
      <c r="I79" s="105"/>
      <c r="J79" s="105"/>
      <c r="K79" s="105"/>
      <c r="L79" s="105"/>
      <c r="M79" s="167">
        <f>IF(D79="M2",E79*F79*G79,IF(D79="M3",E79*F79*G79*H79,IF(D79="M",E79*F79,IF(D79="UNIDAD",E79,IF(D79="GLOBAL",E79,0)))))</f>
        <v>0</v>
      </c>
      <c r="N79" s="105">
        <f>(2.79*1.29)*E79</f>
        <v>0</v>
      </c>
      <c r="O79" s="105"/>
      <c r="P79" s="168">
        <f>IF(D79="GLOBAL",E79,IF(D79="UNIDAD",E79,IF(D79="M2",((K79+L79+M79)-(N79+O79)),IF(D79="M3",((K79+L79+M79)-(N79+O79)),IF(D79="M",((K79+L79+M79)-(N79+O79)),0)))))</f>
        <v>0</v>
      </c>
    </row>
    <row r="80" spans="1:18" ht="15.75" thickBot="1" x14ac:dyDescent="0.3">
      <c r="A80" s="169"/>
      <c r="B80" s="143"/>
      <c r="C80" s="163"/>
      <c r="D80" s="144"/>
      <c r="E80" s="108"/>
      <c r="F80" s="108"/>
      <c r="G80" s="145"/>
      <c r="H80" s="108"/>
      <c r="I80" s="108"/>
      <c r="J80" s="108"/>
      <c r="K80" s="108"/>
      <c r="L80" s="108"/>
      <c r="M80" s="145"/>
      <c r="N80" s="108"/>
      <c r="O80" s="108"/>
      <c r="P80" s="145"/>
    </row>
    <row r="81" spans="1:16" ht="32.450000000000003" customHeight="1" x14ac:dyDescent="0.25">
      <c r="A81" s="151">
        <v>5.0199999999999996</v>
      </c>
      <c r="B81" s="408" t="s">
        <v>58</v>
      </c>
      <c r="C81" s="409"/>
      <c r="D81" s="124" t="s">
        <v>38</v>
      </c>
      <c r="E81" s="410" t="s">
        <v>11</v>
      </c>
      <c r="F81" s="411"/>
      <c r="G81" s="411"/>
      <c r="H81" s="411"/>
      <c r="I81" s="411"/>
      <c r="J81" s="411"/>
      <c r="K81" s="411"/>
      <c r="L81" s="411"/>
      <c r="M81" s="411"/>
      <c r="N81" s="411"/>
      <c r="O81" s="412"/>
      <c r="P81" s="125">
        <f>+ROUND(SUM(P82:P84),2)</f>
        <v>4.8</v>
      </c>
    </row>
    <row r="82" spans="1:16" ht="14.45" customHeight="1" x14ac:dyDescent="0.25">
      <c r="A82" s="152"/>
      <c r="B82" s="128"/>
      <c r="C82" s="153"/>
      <c r="D82" s="154" t="s">
        <v>53</v>
      </c>
      <c r="E82" s="131">
        <v>1</v>
      </c>
      <c r="F82" s="131">
        <v>10</v>
      </c>
      <c r="G82" s="131">
        <v>0.4</v>
      </c>
      <c r="H82" s="131">
        <v>1.2</v>
      </c>
      <c r="I82" s="131"/>
      <c r="J82" s="131"/>
      <c r="K82" s="131"/>
      <c r="L82" s="131"/>
      <c r="M82" s="165">
        <f>IF(D82="M2",E82*F82*G82,IF(D82="M3",E82*F82*G82*H82,IF(D82="M",E82*F82,IF(D82="UNIDAD",E82,IF(D82="GLOBAL",E82,0)))))</f>
        <v>4.8</v>
      </c>
      <c r="N82" s="133"/>
      <c r="O82" s="133"/>
      <c r="P82" s="166">
        <f>IF(D82="GLOBAL",E82,IF(D82="UNIDAD",E82,IF(D82="M2",((K82+L82+M82)-(N82+O82)),IF(D82="M3",((K82+L82+M82)-(N82+O82)),IF(D82="M",((K82+L82+M82)-(N82+O82)),0)))))</f>
        <v>4.8</v>
      </c>
    </row>
    <row r="83" spans="1:16" ht="14.45" customHeight="1" x14ac:dyDescent="0.25">
      <c r="A83" s="156"/>
      <c r="B83" s="157"/>
      <c r="C83" s="176"/>
      <c r="D83" s="177"/>
      <c r="E83" s="178"/>
      <c r="F83" s="178"/>
      <c r="G83" s="178"/>
      <c r="H83" s="178"/>
      <c r="I83" s="178"/>
      <c r="J83" s="178"/>
      <c r="K83" s="178"/>
      <c r="L83" s="178"/>
      <c r="M83" s="165">
        <f>IF(D83="M2",E83*F83*G83,IF(D83="M3",E83*F83*G83*H83,IF(D83="M",E83*F83,IF(D83="UNIDAD",E83,IF(D83="GLOBAL",E83,0)))))</f>
        <v>0</v>
      </c>
      <c r="N83" s="179"/>
      <c r="O83" s="179"/>
      <c r="P83" s="166">
        <f>IF(D83="GLOBAL",E83,IF(D83="UNIDAD",E83,IF(D83="M2",((K83+L83+M83)-(N83+O83)),IF(D83="M3",((K83+L83+M83)-(N83+O83)),IF(D83="M",((K83+L83+M83)-(N83+O83)),0)))))</f>
        <v>0</v>
      </c>
    </row>
    <row r="84" spans="1:16" ht="15.75" thickBot="1" x14ac:dyDescent="0.3">
      <c r="A84" s="104"/>
      <c r="B84" s="159"/>
      <c r="C84" s="180"/>
      <c r="D84" s="181"/>
      <c r="E84" s="138"/>
      <c r="F84" s="138"/>
      <c r="G84" s="161"/>
      <c r="H84" s="105"/>
      <c r="I84" s="105"/>
      <c r="J84" s="105"/>
      <c r="K84" s="105"/>
      <c r="L84" s="105"/>
      <c r="M84" s="167">
        <f>IF(D84="M2",E84*F84*G84,IF(D84="M3",E84*F84*G84*H84,IF(D84="M",E84*F84,IF(D84="UNIDAD",E84,IF(D84="GLOBAL",E84,0)))))</f>
        <v>0</v>
      </c>
      <c r="N84" s="105">
        <f>(2.79*1.29)*E84</f>
        <v>0</v>
      </c>
      <c r="O84" s="105"/>
      <c r="P84" s="168">
        <f>IF(D84="GLOBAL",E84,IF(D84="UNIDAD",E84,IF(D84="M2",((K84+L84+M84)-(N84+O84)),IF(D84="M3",((K84+L84+M84)-(N84+O84)),IF(D84="M",((K84+L84+M84)-(N84+O84)),0)))))</f>
        <v>0</v>
      </c>
    </row>
    <row r="85" spans="1:16" ht="15.75" thickBot="1" x14ac:dyDescent="0.3">
      <c r="A85" s="169"/>
      <c r="B85" s="143"/>
      <c r="C85" s="163"/>
      <c r="D85" s="144"/>
      <c r="E85" s="108"/>
      <c r="F85" s="108"/>
      <c r="G85" s="145"/>
      <c r="H85" s="108"/>
      <c r="I85" s="108"/>
      <c r="J85" s="108"/>
      <c r="K85" s="108"/>
      <c r="L85" s="108"/>
      <c r="M85" s="145"/>
      <c r="N85" s="108"/>
      <c r="O85" s="108"/>
      <c r="P85" s="145"/>
    </row>
    <row r="86" spans="1:16" ht="32.450000000000003" customHeight="1" x14ac:dyDescent="0.25">
      <c r="A86" s="151">
        <v>5.03</v>
      </c>
      <c r="B86" s="408" t="s">
        <v>59</v>
      </c>
      <c r="C86" s="409"/>
      <c r="D86" s="124" t="s">
        <v>42</v>
      </c>
      <c r="E86" s="410" t="s">
        <v>11</v>
      </c>
      <c r="F86" s="411"/>
      <c r="G86" s="411"/>
      <c r="H86" s="411"/>
      <c r="I86" s="411"/>
      <c r="J86" s="411"/>
      <c r="K86" s="411"/>
      <c r="L86" s="411"/>
      <c r="M86" s="411"/>
      <c r="N86" s="411"/>
      <c r="O86" s="412"/>
      <c r="P86" s="125">
        <f>+ROUND(SUM(P87:P89),2)</f>
        <v>10</v>
      </c>
    </row>
    <row r="87" spans="1:16" ht="14.45" customHeight="1" x14ac:dyDescent="0.25">
      <c r="A87" s="152"/>
      <c r="B87" s="128"/>
      <c r="C87" s="153"/>
      <c r="D87" s="154" t="s">
        <v>60</v>
      </c>
      <c r="E87" s="131">
        <v>1</v>
      </c>
      <c r="F87" s="131">
        <v>10</v>
      </c>
      <c r="G87" s="131"/>
      <c r="H87" s="131"/>
      <c r="I87" s="131"/>
      <c r="J87" s="131"/>
      <c r="K87" s="131"/>
      <c r="L87" s="131"/>
      <c r="M87" s="165">
        <f>IF(D87="M2",E87*F87*G87,IF(D87="M3",E87*F87*G87*H87,IF(D87="M",E87*F87,IF(D87="UNIDAD",E87,IF(D87="GLOBAL",E87,0)))))</f>
        <v>10</v>
      </c>
      <c r="N87" s="133"/>
      <c r="O87" s="133"/>
      <c r="P87" s="166">
        <f>IF(D87="GLOBAL",E87,IF(D87="UNIDAD",E87,IF(D87="M2",((K87+L87+M87)-(N87+O87)),IF(D87="M3",((K87+L87+M87)-(N87+O87)),IF(D87="M",((K87+L87+M87)-(N87+O87)),0)))))</f>
        <v>10</v>
      </c>
    </row>
    <row r="88" spans="1:16" ht="14.45" customHeight="1" x14ac:dyDescent="0.25">
      <c r="A88" s="156"/>
      <c r="B88" s="157"/>
      <c r="C88" s="176"/>
      <c r="D88" s="177"/>
      <c r="E88" s="178"/>
      <c r="F88" s="178"/>
      <c r="G88" s="178"/>
      <c r="H88" s="178"/>
      <c r="I88" s="178"/>
      <c r="J88" s="178"/>
      <c r="K88" s="178"/>
      <c r="L88" s="178"/>
      <c r="M88" s="165">
        <f>IF(D88="M2",E88*F88*G88,IF(D88="M3",E88*F88*G88*H88,IF(D88="M",E88*F88,IF(D88="UNIDAD",E88,IF(D88="GLOBAL",E88,0)))))</f>
        <v>0</v>
      </c>
      <c r="N88" s="179"/>
      <c r="O88" s="179"/>
      <c r="P88" s="166">
        <f>IF(D88="GLOBAL",E88,IF(D88="UNIDAD",E88,IF(D88="M2",((K88+L88+M88)-(N88+O88)),IF(D88="M3",((K88+L88+M88)-(N88+O88)),IF(D88="M",((K88+L88+M88)-(N88+O88)),0)))))</f>
        <v>0</v>
      </c>
    </row>
    <row r="89" spans="1:16" ht="15.75" thickBot="1" x14ac:dyDescent="0.3">
      <c r="A89" s="104"/>
      <c r="B89" s="159"/>
      <c r="C89" s="180"/>
      <c r="D89" s="181"/>
      <c r="E89" s="138"/>
      <c r="F89" s="138"/>
      <c r="G89" s="161"/>
      <c r="H89" s="105"/>
      <c r="I89" s="105"/>
      <c r="J89" s="105"/>
      <c r="K89" s="105"/>
      <c r="L89" s="105"/>
      <c r="M89" s="167">
        <f>IF(D89="M2",E89*F89*G89,IF(D89="M3",E89*F89*G89*H89,IF(D89="M",E89*F89,IF(D89="UNIDAD",E89,IF(D89="GLOBAL",E89,0)))))</f>
        <v>0</v>
      </c>
      <c r="N89" s="105">
        <f>(2.79*1.29)*E89</f>
        <v>0</v>
      </c>
      <c r="O89" s="105"/>
      <c r="P89" s="168">
        <f>IF(D89="GLOBAL",E89,IF(D89="UNIDAD",E89,IF(D89="M2",((K89+L89+M89)-(N89+O89)),IF(D89="M3",((K89+L89+M89)-(N89+O89)),IF(D89="M",((K89+L89+M89)-(N89+O89)),0)))))</f>
        <v>0</v>
      </c>
    </row>
    <row r="90" spans="1:16" ht="15.75" thickBot="1" x14ac:dyDescent="0.3">
      <c r="A90" s="169"/>
      <c r="B90" s="143"/>
      <c r="C90" s="163"/>
      <c r="D90" s="144"/>
      <c r="E90" s="108"/>
      <c r="F90" s="108"/>
      <c r="G90" s="145"/>
      <c r="H90" s="108"/>
      <c r="I90" s="108"/>
      <c r="J90" s="108"/>
      <c r="K90" s="108"/>
      <c r="L90" s="108"/>
      <c r="M90" s="145"/>
      <c r="N90" s="108"/>
      <c r="O90" s="108"/>
      <c r="P90" s="145"/>
    </row>
    <row r="91" spans="1:16" ht="32.450000000000003" customHeight="1" x14ac:dyDescent="0.25">
      <c r="A91" s="151">
        <v>5.04</v>
      </c>
      <c r="B91" s="408" t="s">
        <v>61</v>
      </c>
      <c r="C91" s="409"/>
      <c r="D91" s="124" t="s">
        <v>51</v>
      </c>
      <c r="E91" s="410" t="s">
        <v>11</v>
      </c>
      <c r="F91" s="411"/>
      <c r="G91" s="411"/>
      <c r="H91" s="411"/>
      <c r="I91" s="411"/>
      <c r="J91" s="411"/>
      <c r="K91" s="411"/>
      <c r="L91" s="411"/>
      <c r="M91" s="411"/>
      <c r="N91" s="411"/>
      <c r="O91" s="412"/>
      <c r="P91" s="125">
        <f>+ROUND(SUM(P92:P94),2)</f>
        <v>1</v>
      </c>
    </row>
    <row r="92" spans="1:16" ht="14.45" customHeight="1" x14ac:dyDescent="0.25">
      <c r="A92" s="152"/>
      <c r="B92" s="128"/>
      <c r="C92" s="153"/>
      <c r="D92" s="154" t="s">
        <v>55</v>
      </c>
      <c r="E92" s="131">
        <v>1</v>
      </c>
      <c r="F92" s="131"/>
      <c r="G92" s="131"/>
      <c r="H92" s="131"/>
      <c r="I92" s="131"/>
      <c r="J92" s="131"/>
      <c r="K92" s="131"/>
      <c r="L92" s="131"/>
      <c r="M92" s="165">
        <f>IF(D92="M2",E92*F92*G92,IF(D92="M3",E92*F92*G92*H92,IF(D92="M",E92*F92,IF(D92="UND",E92,IF(D92="GLOBAL",E92,0)))))</f>
        <v>1</v>
      </c>
      <c r="N92" s="133"/>
      <c r="O92" s="133"/>
      <c r="P92" s="166">
        <f>IF(D92="GLOBAL",E92,IF(D92="UND",E92,IF(D92="M2",((K92+L92+M92)-(N92+O92)),IF(D92="M3",((K92+L92+M92)-(N92+O92)),IF(D92="M",((K92+L92+M92)-(N92+O92)),0)))))</f>
        <v>1</v>
      </c>
    </row>
    <row r="93" spans="1:16" ht="14.45" customHeight="1" x14ac:dyDescent="0.25">
      <c r="A93" s="156"/>
      <c r="B93" s="157"/>
      <c r="C93" s="176"/>
      <c r="D93" s="177"/>
      <c r="E93" s="178"/>
      <c r="F93" s="178"/>
      <c r="G93" s="178"/>
      <c r="H93" s="178"/>
      <c r="I93" s="178"/>
      <c r="J93" s="178"/>
      <c r="K93" s="178"/>
      <c r="L93" s="178"/>
      <c r="M93" s="165">
        <f>IF(D93="M2",E93*F93*G93,IF(D93="M3",E93*F93*G93*H93,IF(D93="M",E93*F93,IF(D93="UNIDAD",E93,IF(D93="GLOBAL",E93,0)))))</f>
        <v>0</v>
      </c>
      <c r="N93" s="179"/>
      <c r="O93" s="179"/>
      <c r="P93" s="166">
        <f>IF(D93="GLOBAL",E93,IF(D93="UNIDAD",E93,IF(D93="M2",((K93+L93+M93)-(N93+O93)),IF(D93="M3",((K93+L93+M93)-(N93+O93)),IF(D93="M",((K93+L93+M93)-(N93+O93)),0)))))</f>
        <v>0</v>
      </c>
    </row>
    <row r="94" spans="1:16" ht="15.75" thickBot="1" x14ac:dyDescent="0.3">
      <c r="A94" s="104"/>
      <c r="B94" s="159"/>
      <c r="C94" s="180"/>
      <c r="D94" s="181"/>
      <c r="E94" s="138"/>
      <c r="F94" s="138"/>
      <c r="G94" s="161"/>
      <c r="H94" s="105"/>
      <c r="I94" s="105"/>
      <c r="J94" s="105"/>
      <c r="K94" s="105"/>
      <c r="L94" s="105"/>
      <c r="M94" s="167">
        <f>IF(D94="M2",E94*F94*G94,IF(D94="M3",E94*F94*G94*H94,IF(D94="M",E94*F94,IF(D94="UNIDAD",E94,IF(D94="GLOBAL",E94,0)))))</f>
        <v>0</v>
      </c>
      <c r="N94" s="105">
        <f>(2.79*1.29)*E94</f>
        <v>0</v>
      </c>
      <c r="O94" s="105"/>
      <c r="P94" s="168">
        <f>IF(D94="GLOBAL",E94,IF(D94="UNIDAD",E94,IF(D94="M2",((K94+L94+M94)-(N94+O94)),IF(D94="M3",((K94+L94+M94)-(N94+O94)),IF(D94="M",((K94+L94+M94)-(N94+O94)),0)))))</f>
        <v>0</v>
      </c>
    </row>
    <row r="95" spans="1:16" ht="15.75" thickBot="1" x14ac:dyDescent="0.3">
      <c r="A95" s="169"/>
      <c r="B95" s="143"/>
      <c r="C95" s="163"/>
      <c r="D95" s="144"/>
      <c r="E95" s="108"/>
      <c r="F95" s="108"/>
      <c r="G95" s="145"/>
      <c r="H95" s="108"/>
      <c r="I95" s="108"/>
      <c r="J95" s="108"/>
      <c r="K95" s="108"/>
      <c r="L95" s="108"/>
      <c r="M95" s="145"/>
      <c r="N95" s="108"/>
      <c r="O95" s="108"/>
      <c r="P95" s="145"/>
    </row>
    <row r="96" spans="1:16" ht="32.450000000000003" customHeight="1" x14ac:dyDescent="0.25">
      <c r="A96" s="151">
        <v>5.05</v>
      </c>
      <c r="B96" s="408" t="s">
        <v>62</v>
      </c>
      <c r="C96" s="409"/>
      <c r="D96" s="124" t="s">
        <v>51</v>
      </c>
      <c r="E96" s="410" t="s">
        <v>11</v>
      </c>
      <c r="F96" s="411"/>
      <c r="G96" s="411"/>
      <c r="H96" s="411"/>
      <c r="I96" s="411"/>
      <c r="J96" s="411"/>
      <c r="K96" s="411"/>
      <c r="L96" s="411"/>
      <c r="M96" s="411"/>
      <c r="N96" s="411"/>
      <c r="O96" s="412"/>
      <c r="P96" s="125">
        <f>+ROUND(SUM(P97:P99),2)</f>
        <v>1</v>
      </c>
    </row>
    <row r="97" spans="1:16" ht="14.45" customHeight="1" x14ac:dyDescent="0.25">
      <c r="A97" s="152"/>
      <c r="B97" s="128"/>
      <c r="C97" s="153"/>
      <c r="D97" s="154" t="s">
        <v>55</v>
      </c>
      <c r="E97" s="131">
        <v>1</v>
      </c>
      <c r="F97" s="131"/>
      <c r="G97" s="131"/>
      <c r="H97" s="131"/>
      <c r="I97" s="131"/>
      <c r="J97" s="131"/>
      <c r="K97" s="131"/>
      <c r="L97" s="131"/>
      <c r="M97" s="165">
        <f>IF(D97="M2",E97*F97*G97,IF(D97="M3",E97*F97*G97*H97,IF(D97="M",E97*F97,IF(D97="UND",E97,IF(D97="GLOBAL",E97,0)))))</f>
        <v>1</v>
      </c>
      <c r="N97" s="133"/>
      <c r="O97" s="133"/>
      <c r="P97" s="166">
        <f>IF(D97="GLOBAL",E97,IF(D97="UND",E97,IF(D97="M2",((K97+L97+M97)-(N97+O97)),IF(D97="M3",((K97+L97+M97)-(N97+O97)),IF(D97="M",((K97+L97+M97)-(N97+O97)),0)))))</f>
        <v>1</v>
      </c>
    </row>
    <row r="98" spans="1:16" ht="14.45" customHeight="1" x14ac:dyDescent="0.25">
      <c r="A98" s="156"/>
      <c r="B98" s="157"/>
      <c r="C98" s="176"/>
      <c r="D98" s="177"/>
      <c r="E98" s="178"/>
      <c r="F98" s="178"/>
      <c r="G98" s="178"/>
      <c r="H98" s="178"/>
      <c r="I98" s="178"/>
      <c r="J98" s="178"/>
      <c r="K98" s="178"/>
      <c r="L98" s="178"/>
      <c r="M98" s="165">
        <f>IF(D98="M2",E98*F98*G98,IF(D98="M3",E98*F98*G98*H98,IF(D98="M",E98*F98,IF(D98="UNIDAD",E98,IF(D98="GLOBAL",E98,0)))))</f>
        <v>0</v>
      </c>
      <c r="N98" s="179"/>
      <c r="O98" s="179"/>
      <c r="P98" s="166">
        <f>IF(D98="GLOBAL",E98,IF(D98="UNIDAD",E98,IF(D98="M2",((K98+L98+M98)-(N98+O98)),IF(D98="M3",((K98+L98+M98)-(N98+O98)),IF(D98="M",((K98+L98+M98)-(N98+O98)),0)))))</f>
        <v>0</v>
      </c>
    </row>
    <row r="99" spans="1:16" ht="15.75" thickBot="1" x14ac:dyDescent="0.3">
      <c r="A99" s="104"/>
      <c r="B99" s="159"/>
      <c r="C99" s="180"/>
      <c r="D99" s="181"/>
      <c r="E99" s="138"/>
      <c r="F99" s="138"/>
      <c r="G99" s="161"/>
      <c r="H99" s="105"/>
      <c r="I99" s="105"/>
      <c r="J99" s="105"/>
      <c r="K99" s="105"/>
      <c r="L99" s="105"/>
      <c r="M99" s="167">
        <f>IF(D99="M2",E99*F99*G99,IF(D99="M3",E99*F99*G99*H99,IF(D99="M",E99*F99,IF(D99="UNIDAD",E99,IF(D99="GLOBAL",E99,0)))))</f>
        <v>0</v>
      </c>
      <c r="N99" s="105">
        <f>(2.79*1.29)*E99</f>
        <v>0</v>
      </c>
      <c r="O99" s="105"/>
      <c r="P99" s="168">
        <f>IF(D99="GLOBAL",E99,IF(D99="UNIDAD",E99,IF(D99="M2",((K99+L99+M99)-(N99+O99)),IF(D99="M3",((K99+L99+M99)-(N99+O99)),IF(D99="M",((K99+L99+M99)-(N99+O99)),0)))))</f>
        <v>0</v>
      </c>
    </row>
    <row r="100" spans="1:16" ht="15.75" thickBot="1" x14ac:dyDescent="0.3">
      <c r="A100" s="169"/>
      <c r="B100" s="143"/>
      <c r="C100" s="163"/>
      <c r="D100" s="144"/>
      <c r="E100" s="108"/>
      <c r="F100" s="108"/>
      <c r="G100" s="145"/>
      <c r="H100" s="108"/>
      <c r="I100" s="108"/>
      <c r="J100" s="108"/>
      <c r="K100" s="108"/>
      <c r="L100" s="108"/>
      <c r="M100" s="145"/>
      <c r="N100" s="108"/>
      <c r="O100" s="108"/>
      <c r="P100" s="145"/>
    </row>
    <row r="101" spans="1:16" ht="32.450000000000003" customHeight="1" x14ac:dyDescent="0.25">
      <c r="A101" s="151">
        <v>5.0599999999999996</v>
      </c>
      <c r="B101" s="408" t="s">
        <v>63</v>
      </c>
      <c r="C101" s="409"/>
      <c r="D101" s="124" t="s">
        <v>60</v>
      </c>
      <c r="E101" s="410" t="s">
        <v>11</v>
      </c>
      <c r="F101" s="411"/>
      <c r="G101" s="411"/>
      <c r="H101" s="411"/>
      <c r="I101" s="411"/>
      <c r="J101" s="411"/>
      <c r="K101" s="411"/>
      <c r="L101" s="411"/>
      <c r="M101" s="411"/>
      <c r="N101" s="411"/>
      <c r="O101" s="412"/>
      <c r="P101" s="125">
        <f>+ROUND(SUM(P102:P104),2)</f>
        <v>70</v>
      </c>
    </row>
    <row r="102" spans="1:16" ht="14.45" customHeight="1" x14ac:dyDescent="0.25">
      <c r="A102" s="152"/>
      <c r="B102" s="128"/>
      <c r="C102" s="153"/>
      <c r="D102" s="154" t="s">
        <v>60</v>
      </c>
      <c r="E102" s="131">
        <v>1</v>
      </c>
      <c r="F102" s="131">
        <v>70</v>
      </c>
      <c r="G102" s="131"/>
      <c r="H102" s="131"/>
      <c r="I102" s="131"/>
      <c r="J102" s="131"/>
      <c r="K102" s="131"/>
      <c r="L102" s="131"/>
      <c r="M102" s="165">
        <f>IF(D102="M2",E102*F102*G102,IF(D102="M3",E102*F102*G102*H102,IF(D102="M",E102*F102,IF(D102="UND",E102,IF(D102="GLOBAL",E102,0)))))</f>
        <v>70</v>
      </c>
      <c r="N102" s="133"/>
      <c r="O102" s="133"/>
      <c r="P102" s="166">
        <f>IF(D102="GLOBAL",E102,IF(D102="UND",E102,IF(D102="M2",((K102+L102+M102)-(N102+O102)),IF(D102="M3",((K102+L102+M102)-(N102+O102)),IF(D102="M",((K102+L102+M102)-(N102+O102)),0)))))</f>
        <v>70</v>
      </c>
    </row>
    <row r="103" spans="1:16" ht="14.45" customHeight="1" x14ac:dyDescent="0.25">
      <c r="A103" s="156"/>
      <c r="B103" s="157"/>
      <c r="C103" s="176"/>
      <c r="D103" s="177"/>
      <c r="E103" s="178"/>
      <c r="F103" s="178"/>
      <c r="G103" s="178"/>
      <c r="H103" s="178"/>
      <c r="I103" s="178"/>
      <c r="J103" s="178"/>
      <c r="K103" s="178"/>
      <c r="L103" s="178"/>
      <c r="M103" s="165">
        <f>IF(D103="M2",E103*F103*G103,IF(D103="M3",E103*F103*G103*H103,IF(D103="M",E103*F103,IF(D103="UNIDAD",E103,IF(D103="GLOBAL",E103,0)))))</f>
        <v>0</v>
      </c>
      <c r="N103" s="179"/>
      <c r="O103" s="179"/>
      <c r="P103" s="166">
        <f>IF(D103="GLOBAL",E103,IF(D103="UNIDAD",E103,IF(D103="M2",((K103+L103+M103)-(N103+O103)),IF(D103="M3",((K103+L103+M103)-(N103+O103)),IF(D103="M",((K103+L103+M103)-(N103+O103)),0)))))</f>
        <v>0</v>
      </c>
    </row>
    <row r="104" spans="1:16" ht="15.75" thickBot="1" x14ac:dyDescent="0.3">
      <c r="A104" s="104"/>
      <c r="B104" s="159"/>
      <c r="C104" s="180"/>
      <c r="D104" s="181"/>
      <c r="E104" s="138"/>
      <c r="F104" s="138"/>
      <c r="G104" s="161"/>
      <c r="H104" s="105"/>
      <c r="I104" s="105"/>
      <c r="J104" s="105"/>
      <c r="K104" s="105"/>
      <c r="L104" s="105"/>
      <c r="M104" s="167">
        <f>IF(D104="M2",E104*F104*G104,IF(D104="M3",E104*F104*G104*H104,IF(D104="M",E104*F104,IF(D104="UNIDAD",E104,IF(D104="GLOBAL",E104,0)))))</f>
        <v>0</v>
      </c>
      <c r="N104" s="105">
        <f>(2.79*1.29)*E104</f>
        <v>0</v>
      </c>
      <c r="O104" s="105"/>
      <c r="P104" s="168">
        <f>IF(D104="GLOBAL",E104,IF(D104="UNIDAD",E104,IF(D104="M2",((K104+L104+M104)-(N104+O104)),IF(D104="M3",((K104+L104+M104)-(N104+O104)),IF(D104="M",((K104+L104+M104)-(N104+O104)),0)))))</f>
        <v>0</v>
      </c>
    </row>
    <row r="105" spans="1:16" ht="15.75" thickBot="1" x14ac:dyDescent="0.3">
      <c r="A105" s="169"/>
      <c r="B105" s="143"/>
      <c r="C105" s="163"/>
      <c r="D105" s="144"/>
      <c r="E105" s="108"/>
      <c r="F105" s="108"/>
      <c r="G105" s="145"/>
      <c r="H105" s="108"/>
      <c r="I105" s="108"/>
      <c r="J105" s="108"/>
      <c r="K105" s="108"/>
      <c r="L105" s="108"/>
      <c r="M105" s="145"/>
      <c r="N105" s="108"/>
      <c r="O105" s="108"/>
      <c r="P105" s="145"/>
    </row>
    <row r="106" spans="1:16" ht="58.5" customHeight="1" x14ac:dyDescent="0.25">
      <c r="A106" s="151">
        <v>5.07</v>
      </c>
      <c r="B106" s="408" t="s">
        <v>64</v>
      </c>
      <c r="C106" s="409"/>
      <c r="D106" s="124" t="s">
        <v>51</v>
      </c>
      <c r="E106" s="410" t="s">
        <v>11</v>
      </c>
      <c r="F106" s="411"/>
      <c r="G106" s="411"/>
      <c r="H106" s="411"/>
      <c r="I106" s="411"/>
      <c r="J106" s="411"/>
      <c r="K106" s="411"/>
      <c r="L106" s="411"/>
      <c r="M106" s="411"/>
      <c r="N106" s="411"/>
      <c r="O106" s="412"/>
      <c r="P106" s="125">
        <f>+ROUND(SUM(P107:P109),2)</f>
        <v>1</v>
      </c>
    </row>
    <row r="107" spans="1:16" ht="14.45" customHeight="1" x14ac:dyDescent="0.25">
      <c r="A107" s="152"/>
      <c r="B107" s="128"/>
      <c r="C107" s="153"/>
      <c r="D107" s="154" t="s">
        <v>55</v>
      </c>
      <c r="E107" s="131">
        <v>1</v>
      </c>
      <c r="F107" s="131"/>
      <c r="G107" s="131"/>
      <c r="H107" s="131"/>
      <c r="I107" s="131"/>
      <c r="J107" s="131"/>
      <c r="K107" s="131"/>
      <c r="L107" s="131"/>
      <c r="M107" s="165">
        <f>IF(D107="M2",E107*F107*G107,IF(D107="M3",E107*F107*G107*H107,IF(D107="M",E107*F107,IF(D107="UND",E107,IF(D107="GLOBAL",E107,0)))))</f>
        <v>1</v>
      </c>
      <c r="N107" s="133"/>
      <c r="O107" s="133"/>
      <c r="P107" s="166">
        <f>IF(D107="GLOBAL",E107,IF(D107="UND",E107,IF(D107="M2",((K107+L107+M107)-(N107+O107)),IF(D107="M3",((K107+L107+M107)-(N107+O107)),IF(D107="M",((K107+L107+M107)-(N107+O107)),0)))))</f>
        <v>1</v>
      </c>
    </row>
    <row r="108" spans="1:16" ht="14.45" customHeight="1" x14ac:dyDescent="0.25">
      <c r="A108" s="156"/>
      <c r="B108" s="157"/>
      <c r="C108" s="153"/>
      <c r="D108" s="153"/>
      <c r="E108" s="153"/>
      <c r="F108" s="131"/>
      <c r="G108" s="131"/>
      <c r="H108" s="178"/>
      <c r="I108" s="178"/>
      <c r="J108" s="178"/>
      <c r="K108" s="178"/>
      <c r="L108" s="178"/>
      <c r="M108" s="165">
        <f>IF(D108="M2",E108*F108*G108,IF(D108="M3",E108*F108*G108*H108,IF(D108="M",E108*F108,IF(D108="UNIDAD",E108,IF(D108="GLOBAL",E108,0)))))</f>
        <v>0</v>
      </c>
      <c r="N108" s="179"/>
      <c r="O108" s="179"/>
      <c r="P108" s="166">
        <f>IF(D108="GLOBAL",E108,IF(D108="UNIDAD",E108,IF(D108="M2",((K108+L108+M108)-(N108+O108)),IF(D108="M3",((K108+L108+M108)-(N108+O108)),IF(D108="M",((K108+L108+M108)-(N108+O108)),0)))))</f>
        <v>0</v>
      </c>
    </row>
    <row r="109" spans="1:16" ht="15.75" thickBot="1" x14ac:dyDescent="0.3">
      <c r="A109" s="104"/>
      <c r="B109" s="159"/>
      <c r="C109" s="180"/>
      <c r="D109" s="181"/>
      <c r="E109" s="138"/>
      <c r="F109" s="138"/>
      <c r="G109" s="161"/>
      <c r="H109" s="105"/>
      <c r="I109" s="105"/>
      <c r="J109" s="105"/>
      <c r="K109" s="105"/>
      <c r="L109" s="105"/>
      <c r="M109" s="167">
        <f>IF(D109="M2",E109*F109*G109,IF(D109="M3",E109*F109*G109*H109,IF(D109="M",E109*F109,IF(D109="UNIDAD",E109,IF(D109="GLOBAL",E109,0)))))</f>
        <v>0</v>
      </c>
      <c r="N109" s="105">
        <f>(2.79*1.29)*E109</f>
        <v>0</v>
      </c>
      <c r="O109" s="105"/>
      <c r="P109" s="168">
        <f>IF(D109="GLOBAL",E109,IF(D109="UNIDAD",E109,IF(D109="M2",((K109+L109+M109)-(N109+O109)),IF(D109="M3",((K109+L109+M109)-(N109+O109)),IF(D109="M",((K109+L109+M109)-(N109+O109)),0)))))</f>
        <v>0</v>
      </c>
    </row>
    <row r="110" spans="1:16" ht="15.75" thickBot="1" x14ac:dyDescent="0.3">
      <c r="A110" s="169"/>
      <c r="B110" s="143"/>
      <c r="C110" s="163"/>
      <c r="D110" s="144"/>
      <c r="E110" s="108"/>
      <c r="F110" s="108"/>
      <c r="G110" s="145"/>
      <c r="H110" s="108"/>
      <c r="I110" s="108"/>
      <c r="J110" s="108"/>
      <c r="K110" s="108"/>
      <c r="L110" s="108"/>
      <c r="M110" s="145"/>
      <c r="N110" s="108"/>
      <c r="O110" s="108"/>
      <c r="P110" s="145"/>
    </row>
    <row r="111" spans="1:16" ht="59.1" customHeight="1" x14ac:dyDescent="0.25">
      <c r="A111" s="151">
        <v>5.08</v>
      </c>
      <c r="B111" s="408" t="s">
        <v>65</v>
      </c>
      <c r="C111" s="409"/>
      <c r="D111" s="124" t="s">
        <v>51</v>
      </c>
      <c r="E111" s="410" t="s">
        <v>11</v>
      </c>
      <c r="F111" s="411"/>
      <c r="G111" s="411"/>
      <c r="H111" s="411"/>
      <c r="I111" s="411"/>
      <c r="J111" s="411"/>
      <c r="K111" s="411"/>
      <c r="L111" s="411"/>
      <c r="M111" s="411"/>
      <c r="N111" s="411"/>
      <c r="O111" s="412"/>
      <c r="P111" s="125">
        <f>+ROUND(SUM(P112:P114),2)</f>
        <v>1</v>
      </c>
    </row>
    <row r="112" spans="1:16" ht="14.45" customHeight="1" x14ac:dyDescent="0.25">
      <c r="A112" s="152"/>
      <c r="B112" s="128"/>
      <c r="C112" s="153"/>
      <c r="D112" s="154" t="s">
        <v>55</v>
      </c>
      <c r="E112" s="131">
        <v>1</v>
      </c>
      <c r="F112" s="131"/>
      <c r="G112" s="131"/>
      <c r="H112" s="131"/>
      <c r="I112" s="131"/>
      <c r="J112" s="131"/>
      <c r="K112" s="131"/>
      <c r="L112" s="131"/>
      <c r="M112" s="165">
        <f>IF(D112="M2",E112*F112*G112,IF(D112="M3",E112*F112*G112*H112,IF(D112="M",E112*F112,IF(D112="UND",E112,IF(D112="GLOBAL",E112,0)))))</f>
        <v>1</v>
      </c>
      <c r="N112" s="133"/>
      <c r="O112" s="133"/>
      <c r="P112" s="166">
        <f>IF(D112="GLOBAL",E112,IF(D112="UND",E112,IF(D112="M2",((K112+L112+M112)-(N112+O112)),IF(D112="M3",((K112+L112+M112)-(N112+O112)),IF(D112="M",((K112+L112+M112)-(N112+O112)),0)))))</f>
        <v>1</v>
      </c>
    </row>
    <row r="113" spans="1:16" ht="14.45" customHeight="1" x14ac:dyDescent="0.25">
      <c r="A113" s="156"/>
      <c r="B113" s="157"/>
      <c r="C113" s="153"/>
      <c r="D113" s="153"/>
      <c r="E113" s="153"/>
      <c r="F113" s="131"/>
      <c r="G113" s="131"/>
      <c r="H113" s="178"/>
      <c r="I113" s="178"/>
      <c r="J113" s="178"/>
      <c r="K113" s="178"/>
      <c r="L113" s="178"/>
      <c r="M113" s="165">
        <f>IF(D113="M2",E113*F113*G113,IF(D113="M3",E113*F113*G113*H113,IF(D113="M",E113*F113,IF(D113="UNIDAD",E113,IF(D113="GLOBAL",E113,0)))))</f>
        <v>0</v>
      </c>
      <c r="N113" s="179"/>
      <c r="O113" s="179"/>
      <c r="P113" s="166">
        <f>IF(D113="GLOBAL",E113,IF(D113="UNIDAD",E113,IF(D113="M2",((K113+L113+M113)-(N113+O113)),IF(D113="M3",((K113+L113+M113)-(N113+O113)),IF(D113="M",((K113+L113+M113)-(N113+O113)),0)))))</f>
        <v>0</v>
      </c>
    </row>
    <row r="114" spans="1:16" ht="15.75" thickBot="1" x14ac:dyDescent="0.3">
      <c r="A114" s="104"/>
      <c r="B114" s="159"/>
      <c r="C114" s="180"/>
      <c r="D114" s="181"/>
      <c r="E114" s="138"/>
      <c r="F114" s="138"/>
      <c r="G114" s="161"/>
      <c r="H114" s="105"/>
      <c r="I114" s="105"/>
      <c r="J114" s="105"/>
      <c r="K114" s="105"/>
      <c r="L114" s="105"/>
      <c r="M114" s="167">
        <f>IF(D114="M2",E114*F114*G114,IF(D114="M3",E114*F114*G114*H114,IF(D114="M",E114*F114,IF(D114="UNIDAD",E114,IF(D114="GLOBAL",E114,0)))))</f>
        <v>0</v>
      </c>
      <c r="N114" s="105">
        <f>(2.79*1.29)*E114</f>
        <v>0</v>
      </c>
      <c r="O114" s="105"/>
      <c r="P114" s="168">
        <f>IF(D114="GLOBAL",E114,IF(D114="UNIDAD",E114,IF(D114="M2",((K114+L114+M114)-(N114+O114)),IF(D114="M3",((K114+L114+M114)-(N114+O114)),IF(D114="M",((K114+L114+M114)-(N114+O114)),0)))))</f>
        <v>0</v>
      </c>
    </row>
    <row r="115" spans="1:16" x14ac:dyDescent="0.25">
      <c r="A115" s="169"/>
      <c r="B115" s="143"/>
      <c r="C115" s="163"/>
      <c r="D115" s="144"/>
      <c r="E115" s="108"/>
      <c r="F115" s="108"/>
      <c r="G115" s="145"/>
      <c r="H115" s="108"/>
      <c r="I115" s="108"/>
      <c r="J115" s="108"/>
      <c r="K115" s="108"/>
      <c r="L115" s="108"/>
      <c r="M115" s="145"/>
      <c r="N115" s="108"/>
      <c r="O115" s="108"/>
      <c r="P115" s="145"/>
    </row>
    <row r="116" spans="1:16" ht="15.75" thickBot="1" x14ac:dyDescent="0.3">
      <c r="A116" s="169"/>
      <c r="B116" s="143"/>
      <c r="C116" s="163"/>
      <c r="D116" s="144"/>
      <c r="E116" s="108"/>
      <c r="F116" s="108"/>
      <c r="G116" s="145"/>
      <c r="H116" s="108"/>
      <c r="I116" s="108"/>
      <c r="J116" s="108"/>
      <c r="K116" s="108"/>
      <c r="L116" s="108"/>
      <c r="M116" s="145"/>
      <c r="N116" s="108"/>
      <c r="O116" s="108"/>
      <c r="P116" s="145"/>
    </row>
    <row r="117" spans="1:16" ht="32.450000000000003" customHeight="1" x14ac:dyDescent="0.25">
      <c r="A117" s="151">
        <v>5.09</v>
      </c>
      <c r="B117" s="408" t="s">
        <v>66</v>
      </c>
      <c r="C117" s="409"/>
      <c r="D117" s="124" t="s">
        <v>51</v>
      </c>
      <c r="E117" s="410" t="s">
        <v>11</v>
      </c>
      <c r="F117" s="411"/>
      <c r="G117" s="411"/>
      <c r="H117" s="411"/>
      <c r="I117" s="411"/>
      <c r="J117" s="411"/>
      <c r="K117" s="411"/>
      <c r="L117" s="411"/>
      <c r="M117" s="411"/>
      <c r="N117" s="411"/>
      <c r="O117" s="412"/>
      <c r="P117" s="125">
        <f>+ROUND(SUM(P118:P120),2)</f>
        <v>1</v>
      </c>
    </row>
    <row r="118" spans="1:16" ht="14.45" customHeight="1" x14ac:dyDescent="0.25">
      <c r="A118" s="152"/>
      <c r="B118" s="128"/>
      <c r="C118" s="153"/>
      <c r="D118" s="154" t="s">
        <v>55</v>
      </c>
      <c r="E118" s="131">
        <v>1</v>
      </c>
      <c r="F118" s="131"/>
      <c r="G118" s="131"/>
      <c r="H118" s="131"/>
      <c r="I118" s="131"/>
      <c r="J118" s="131"/>
      <c r="K118" s="131"/>
      <c r="L118" s="131"/>
      <c r="M118" s="165">
        <f>IF(D118="M2",E118*F118*G118,IF(D118="M3",E118*F118*G118*H118,IF(D118="M",E118*F118,IF(D118="UND",E118,IF(D118="GLOBAL",E118,0)))))</f>
        <v>1</v>
      </c>
      <c r="N118" s="133"/>
      <c r="O118" s="133"/>
      <c r="P118" s="166">
        <f>IF(D118="GLOBAL",E118,IF(D118="UND",E118,IF(D118="M2",((K118+L118+M118)-(N118+O118)),IF(D118="M3",((K118+L118+M118)-(N118+O118)),IF(D118="M",((K118+L118+M118)-(N118+O118)),0)))))</f>
        <v>1</v>
      </c>
    </row>
    <row r="119" spans="1:16" ht="14.45" customHeight="1" x14ac:dyDescent="0.25">
      <c r="A119" s="156"/>
      <c r="B119" s="157"/>
      <c r="C119" s="153"/>
      <c r="D119" s="153"/>
      <c r="E119" s="153"/>
      <c r="F119" s="153"/>
      <c r="G119" s="153"/>
      <c r="H119" s="178"/>
      <c r="I119" s="178"/>
      <c r="J119" s="178"/>
      <c r="K119" s="178"/>
      <c r="L119" s="178"/>
      <c r="M119" s="165">
        <f>IF(D119="M2",E119*F119*G119,IF(D119="M3",E119*F119*G119*H119,IF(D119="M",E119*F119,IF(D119="UNIDAD",E119,IF(D119="GLOBAL",E119,0)))))</f>
        <v>0</v>
      </c>
      <c r="N119" s="179"/>
      <c r="O119" s="179"/>
      <c r="P119" s="166">
        <f>IF(D119="GLOBAL",E119,IF(D119="UNIDAD",E119,IF(D119="M2",((K119+L119+M119)-(N119+O119)),IF(D119="M3",((K119+L119+M119)-(N119+O119)),IF(D119="M",((K119+L119+M119)-(N119+O119)),0)))))</f>
        <v>0</v>
      </c>
    </row>
    <row r="120" spans="1:16" ht="15.75" thickBot="1" x14ac:dyDescent="0.3">
      <c r="A120" s="104"/>
      <c r="B120" s="159"/>
      <c r="C120" s="180"/>
      <c r="D120" s="181"/>
      <c r="E120" s="138"/>
      <c r="F120" s="138"/>
      <c r="G120" s="161"/>
      <c r="H120" s="105"/>
      <c r="I120" s="105"/>
      <c r="J120" s="105"/>
      <c r="K120" s="105"/>
      <c r="L120" s="105"/>
      <c r="M120" s="167">
        <f>IF(D120="M2",E120*F120*G120,IF(D120="M3",E120*F120*G120*H120,IF(D120="M",E120*F120,IF(D120="UNIDAD",E120,IF(D120="GLOBAL",E120,0)))))</f>
        <v>0</v>
      </c>
      <c r="N120" s="105">
        <f>(2.79*1.29)*E120</f>
        <v>0</v>
      </c>
      <c r="O120" s="105"/>
      <c r="P120" s="168">
        <f>IF(D120="GLOBAL",E120,IF(D120="UNIDAD",E120,IF(D120="M2",((K120+L120+M120)-(N120+O120)),IF(D120="M3",((K120+L120+M120)-(N120+O120)),IF(D120="M",((K120+L120+M120)-(N120+O120)),0)))))</f>
        <v>0</v>
      </c>
    </row>
    <row r="121" spans="1:16" x14ac:dyDescent="0.25">
      <c r="A121" s="169"/>
      <c r="B121" s="143"/>
      <c r="C121" s="163"/>
      <c r="D121" s="144"/>
      <c r="E121" s="108"/>
      <c r="F121" s="108"/>
      <c r="G121" s="145"/>
      <c r="H121" s="108"/>
      <c r="I121" s="108"/>
      <c r="J121" s="108"/>
      <c r="K121" s="108"/>
      <c r="L121" s="108"/>
      <c r="M121" s="145"/>
      <c r="N121" s="108"/>
      <c r="O121" s="108"/>
      <c r="P121" s="145"/>
    </row>
    <row r="122" spans="1:16" ht="15.75" thickBot="1" x14ac:dyDescent="0.3">
      <c r="A122" s="169"/>
      <c r="B122" s="175"/>
      <c r="C122" s="175"/>
      <c r="D122" s="143"/>
      <c r="E122" s="142"/>
    </row>
    <row r="123" spans="1:16" ht="15.75" thickBot="1" x14ac:dyDescent="0.3">
      <c r="A123" s="188">
        <v>6</v>
      </c>
      <c r="B123" s="189" t="s">
        <v>67</v>
      </c>
      <c r="C123" s="190"/>
      <c r="D123" s="111"/>
      <c r="E123" s="112"/>
      <c r="F123" s="113"/>
      <c r="G123" s="113"/>
      <c r="H123" s="113"/>
      <c r="I123" s="113"/>
      <c r="J123" s="113"/>
      <c r="K123" s="113"/>
      <c r="L123" s="113"/>
      <c r="M123" s="113"/>
      <c r="N123" s="115"/>
      <c r="O123" s="115"/>
      <c r="P123" s="115"/>
    </row>
    <row r="124" spans="1:16" ht="15.75" thickBot="1" x14ac:dyDescent="0.3">
      <c r="A124" s="169"/>
      <c r="B124" s="175"/>
      <c r="C124" s="175"/>
      <c r="D124" s="143"/>
      <c r="E124" s="142"/>
    </row>
    <row r="125" spans="1:16" ht="32.450000000000003" customHeight="1" x14ac:dyDescent="0.25">
      <c r="A125" s="151">
        <v>6.01</v>
      </c>
      <c r="B125" s="408" t="s">
        <v>68</v>
      </c>
      <c r="C125" s="409"/>
      <c r="D125" s="124" t="s">
        <v>42</v>
      </c>
      <c r="E125" s="410" t="s">
        <v>11</v>
      </c>
      <c r="F125" s="411"/>
      <c r="G125" s="411"/>
      <c r="H125" s="411"/>
      <c r="I125" s="411"/>
      <c r="J125" s="411"/>
      <c r="K125" s="411"/>
      <c r="L125" s="411"/>
      <c r="M125" s="411"/>
      <c r="N125" s="411"/>
      <c r="O125" s="412"/>
      <c r="P125" s="125">
        <f>+ROUND(SUM(P126:P127),2)</f>
        <v>115</v>
      </c>
    </row>
    <row r="126" spans="1:16" ht="14.45" customHeight="1" x14ac:dyDescent="0.25">
      <c r="A126" s="152"/>
      <c r="B126" s="128"/>
      <c r="C126" s="153"/>
      <c r="D126" s="154" t="s">
        <v>42</v>
      </c>
      <c r="E126" s="131">
        <v>1</v>
      </c>
      <c r="F126" s="131">
        <v>115</v>
      </c>
      <c r="G126" s="131"/>
      <c r="H126" s="131"/>
      <c r="I126" s="131"/>
      <c r="J126" s="131"/>
      <c r="K126" s="131"/>
      <c r="L126" s="131"/>
      <c r="M126" s="165">
        <f>IF(D126="M2",E126*F126*G126,IF(D126="M3",E126*F126*G126*H126,IF(D126="M",E126*F126,IF(D126="UNIDAD",E126,IF(D126="GLOBAL",E126,0)))))</f>
        <v>115</v>
      </c>
      <c r="N126" s="133"/>
      <c r="O126" s="133"/>
      <c r="P126" s="166">
        <f>IF(D126="GLOBAL",E126,IF(D126="UNIDAD",E126,IF(D126="M2",((K126+L126+M126)-(N126+O126)),IF(D126="M3",((K126+L126+M126)-(N126+O126)),IF(D126="M",((K126+L126+M126)-(N126+O126)),0)))))</f>
        <v>115</v>
      </c>
    </row>
    <row r="127" spans="1:16" ht="15.75" thickBot="1" x14ac:dyDescent="0.3">
      <c r="A127" s="104"/>
      <c r="B127" s="159"/>
      <c r="C127" s="180"/>
      <c r="D127" s="181"/>
      <c r="E127" s="138"/>
      <c r="F127" s="138"/>
      <c r="G127" s="161"/>
      <c r="H127" s="105"/>
      <c r="I127" s="105"/>
      <c r="J127" s="105"/>
      <c r="K127" s="105"/>
      <c r="L127" s="105"/>
      <c r="M127" s="167">
        <f>IF(D127="M2",E127*F127*G127,IF(D127="M3",E127*F127*G127*H127,IF(D127="M",E127*F127,IF(D127="UNIDAD",E127,IF(D127="GLOBAL",E127,0)))))</f>
        <v>0</v>
      </c>
      <c r="N127" s="105">
        <f>(2.79*1.29)*E127</f>
        <v>0</v>
      </c>
      <c r="O127" s="105"/>
      <c r="P127" s="168">
        <f>IF(D127="GLOBAL",E127,IF(D127="UNIDAD",E127,IF(D127="M2",((K127+L127+M127)-(N127+O127)),IF(D127="M3",((K127+L127+M127)-(N127+O127)),IF(D127="M",((K127+L127+M127)-(N127+O127)),0)))))</f>
        <v>0</v>
      </c>
    </row>
    <row r="128" spans="1:16" ht="15.75" thickBot="1" x14ac:dyDescent="0.3">
      <c r="A128" s="169"/>
      <c r="B128" s="175"/>
      <c r="C128" s="175"/>
      <c r="D128" s="143"/>
      <c r="E128" s="142"/>
    </row>
    <row r="129" spans="1:16" ht="15.75" thickBot="1" x14ac:dyDescent="0.3">
      <c r="A129" s="188">
        <v>7</v>
      </c>
      <c r="B129" s="189" t="s">
        <v>69</v>
      </c>
      <c r="C129" s="190"/>
      <c r="D129" s="111"/>
      <c r="E129" s="112"/>
      <c r="F129" s="113"/>
      <c r="G129" s="113"/>
      <c r="H129" s="113"/>
      <c r="I129" s="113"/>
      <c r="J129" s="113"/>
      <c r="K129" s="113"/>
      <c r="L129" s="113"/>
      <c r="M129" s="113"/>
      <c r="N129" s="115"/>
      <c r="O129" s="115"/>
      <c r="P129" s="115"/>
    </row>
    <row r="130" spans="1:16" ht="15.75" thickBot="1" x14ac:dyDescent="0.3">
      <c r="A130" s="169"/>
      <c r="B130" s="175"/>
      <c r="C130" s="175"/>
      <c r="D130" s="143"/>
      <c r="E130" s="142"/>
    </row>
    <row r="131" spans="1:16" ht="32.450000000000003" customHeight="1" x14ac:dyDescent="0.25">
      <c r="A131" s="151">
        <v>7.01</v>
      </c>
      <c r="B131" s="408" t="s">
        <v>70</v>
      </c>
      <c r="C131" s="409"/>
      <c r="D131" s="124" t="s">
        <v>38</v>
      </c>
      <c r="E131" s="410" t="s">
        <v>11</v>
      </c>
      <c r="F131" s="411"/>
      <c r="G131" s="411"/>
      <c r="H131" s="411"/>
      <c r="I131" s="411"/>
      <c r="J131" s="411"/>
      <c r="K131" s="411"/>
      <c r="L131" s="411"/>
      <c r="M131" s="411"/>
      <c r="N131" s="411"/>
      <c r="O131" s="412"/>
      <c r="P131" s="125">
        <f>+ROUND(SUM(P132:P133),2)</f>
        <v>1842.68</v>
      </c>
    </row>
    <row r="132" spans="1:16" ht="14.45" customHeight="1" x14ac:dyDescent="0.25">
      <c r="A132" s="152"/>
      <c r="B132" s="128"/>
      <c r="C132" s="153"/>
      <c r="D132" s="154" t="s">
        <v>38</v>
      </c>
      <c r="E132" s="131">
        <v>1</v>
      </c>
      <c r="F132" s="131">
        <v>2632.4</v>
      </c>
      <c r="G132" s="131">
        <v>1</v>
      </c>
      <c r="H132" s="131">
        <v>0.7</v>
      </c>
      <c r="I132" s="131"/>
      <c r="J132" s="131"/>
      <c r="K132" s="131"/>
      <c r="L132" s="131"/>
      <c r="M132" s="165">
        <f>IF(D132="M2",E132*F132*G132,IF(D132="M3",E132*F132*G132*H132,IF(D132="M",E132*F132,IF(D132="UNIDAD",E132,IF(D132="GLOBAL",E132,0)))))</f>
        <v>1842.6799999999998</v>
      </c>
      <c r="N132" s="133"/>
      <c r="O132" s="133"/>
      <c r="P132" s="166">
        <f>IF(D132="GLOBAL",E132,IF(D132="UNIDAD",E132,IF(D132="M2",((K132+L132+M132)-(N132+O132)),IF(D132="M3",((K132+L132+M132)-(N132+O132)),IF(D132="M",((K132+L132+M132)-(N132+O132)),0)))))</f>
        <v>1842.6799999999998</v>
      </c>
    </row>
    <row r="133" spans="1:16" ht="15.75" thickBot="1" x14ac:dyDescent="0.3">
      <c r="A133" s="104"/>
      <c r="B133" s="159"/>
      <c r="C133" s="180"/>
      <c r="D133" s="181"/>
      <c r="E133" s="138"/>
      <c r="F133" s="138"/>
      <c r="G133" s="161"/>
      <c r="H133" s="105"/>
      <c r="I133" s="105"/>
      <c r="J133" s="105"/>
      <c r="K133" s="105"/>
      <c r="L133" s="105"/>
      <c r="M133" s="167">
        <f>IF(D133="M2",E133*F133*G133,IF(D133="M3",E133*F133*G133*H133,IF(D133="M",E133*F133,IF(D133="UNIDAD",E133,IF(D133="GLOBAL",E133,0)))))</f>
        <v>0</v>
      </c>
      <c r="N133" s="105">
        <f>(2.79*1.29)*E133</f>
        <v>0</v>
      </c>
      <c r="O133" s="105"/>
      <c r="P133" s="168">
        <f>IF(D133="GLOBAL",E133,IF(D133="UNIDAD",E133,IF(D133="M2",((K133+L133+M133)-(N133+O133)),IF(D133="M3",((K133+L133+M133)-(N133+O133)),IF(D133="M",((K133+L133+M133)-(N133+O133)),0)))))</f>
        <v>0</v>
      </c>
    </row>
    <row r="134" spans="1:16" ht="15.75" thickBot="1" x14ac:dyDescent="0.3">
      <c r="A134" s="108"/>
      <c r="B134" s="141"/>
      <c r="C134" s="141"/>
      <c r="D134" s="141"/>
      <c r="E134" s="142"/>
      <c r="F134" s="142"/>
      <c r="G134" s="142"/>
      <c r="H134" s="142"/>
      <c r="I134" s="142"/>
      <c r="J134" s="142"/>
      <c r="K134" s="142"/>
      <c r="L134" s="142"/>
      <c r="M134" s="142"/>
      <c r="N134" s="141"/>
      <c r="O134" s="141"/>
      <c r="P134" s="108"/>
    </row>
    <row r="135" spans="1:16" ht="32.450000000000003" customHeight="1" x14ac:dyDescent="0.25">
      <c r="A135" s="151">
        <v>7.02</v>
      </c>
      <c r="B135" s="408" t="s">
        <v>71</v>
      </c>
      <c r="C135" s="409"/>
      <c r="D135" s="124" t="s">
        <v>34</v>
      </c>
      <c r="E135" s="410" t="s">
        <v>11</v>
      </c>
      <c r="F135" s="411"/>
      <c r="G135" s="411"/>
      <c r="H135" s="411"/>
      <c r="I135" s="411"/>
      <c r="J135" s="411"/>
      <c r="K135" s="411"/>
      <c r="L135" s="411"/>
      <c r="M135" s="411"/>
      <c r="N135" s="411"/>
      <c r="O135" s="412"/>
      <c r="P135" s="125">
        <f>+ROUND(SUM(P136:P137),2)</f>
        <v>2105.92</v>
      </c>
    </row>
    <row r="136" spans="1:16" ht="14.45" customHeight="1" x14ac:dyDescent="0.25">
      <c r="A136" s="152"/>
      <c r="B136" s="128"/>
      <c r="C136" s="153"/>
      <c r="D136" s="154" t="s">
        <v>72</v>
      </c>
      <c r="E136" s="131">
        <v>1</v>
      </c>
      <c r="F136" s="131">
        <v>2632.4</v>
      </c>
      <c r="G136" s="131">
        <v>0.8</v>
      </c>
      <c r="H136" s="131"/>
      <c r="I136" s="131"/>
      <c r="J136" s="131"/>
      <c r="K136" s="131"/>
      <c r="L136" s="131"/>
      <c r="M136" s="165">
        <f>IF(D136="M2",E136*F136*G136,IF(D136="M3",E136*F136*G136*H136,IF(D136="M",E136*F136,IF(D136="UNIDAD",E136,IF(D136="GLOBAL",E136,0)))))</f>
        <v>2105.92</v>
      </c>
      <c r="N136" s="133"/>
      <c r="O136" s="133"/>
      <c r="P136" s="166">
        <f>IF(D136="GLOBAL",E136,IF(D136="UNIDAD",E136,IF(D136="M2",((K136+L136+M136)-(N136+O136)),IF(D136="M3",((K136+L136+M136)-(N136+O136)),IF(D136="M",((K136+L136+M136)-(N136+O136)),0)))))</f>
        <v>2105.92</v>
      </c>
    </row>
    <row r="137" spans="1:16" ht="15.75" thickBot="1" x14ac:dyDescent="0.3">
      <c r="A137" s="104"/>
      <c r="B137" s="159"/>
      <c r="C137" s="180"/>
      <c r="D137" s="181"/>
      <c r="E137" s="138"/>
      <c r="F137" s="138"/>
      <c r="G137" s="161"/>
      <c r="H137" s="105"/>
      <c r="I137" s="105"/>
      <c r="J137" s="105"/>
      <c r="K137" s="105"/>
      <c r="L137" s="105"/>
      <c r="M137" s="167">
        <f>IF(D137="M2",E137*F137*G137,IF(D137="M3",E137*F137*G137*H137,IF(D137="M",E137*F137,IF(D137="UNIDAD",E137,IF(D137="GLOBAL",E137,0)))))</f>
        <v>0</v>
      </c>
      <c r="N137" s="105">
        <f>(2.79*1.29)*E137</f>
        <v>0</v>
      </c>
      <c r="O137" s="105"/>
      <c r="P137" s="168">
        <f>IF(D137="GLOBAL",E137,IF(D137="UNIDAD",E137,IF(D137="M2",((K137+L137+M137)-(N137+O137)),IF(D137="M3",((K137+L137+M137)-(N137+O137)),IF(D137="M",((K137+L137+M137)-(N137+O137)),0)))))</f>
        <v>0</v>
      </c>
    </row>
    <row r="138" spans="1:16" ht="15.75" thickBot="1" x14ac:dyDescent="0.3">
      <c r="A138" s="108"/>
      <c r="B138" s="141"/>
      <c r="C138" s="141"/>
      <c r="D138" s="141"/>
      <c r="E138" s="142"/>
      <c r="F138" s="142"/>
      <c r="G138" s="191"/>
      <c r="H138" s="142"/>
      <c r="I138" s="142"/>
      <c r="J138" s="142"/>
      <c r="K138" s="142"/>
      <c r="L138" s="142"/>
      <c r="M138" s="142"/>
      <c r="N138" s="141"/>
      <c r="O138" s="141"/>
      <c r="P138" s="108"/>
    </row>
    <row r="139" spans="1:16" ht="32.450000000000003" customHeight="1" x14ac:dyDescent="0.25">
      <c r="A139" s="151">
        <v>7.03</v>
      </c>
      <c r="B139" s="408" t="s">
        <v>73</v>
      </c>
      <c r="C139" s="409"/>
      <c r="D139" s="124" t="s">
        <v>34</v>
      </c>
      <c r="E139" s="410" t="s">
        <v>11</v>
      </c>
      <c r="F139" s="411"/>
      <c r="G139" s="411"/>
      <c r="H139" s="411"/>
      <c r="I139" s="411"/>
      <c r="J139" s="411"/>
      <c r="K139" s="411"/>
      <c r="L139" s="411"/>
      <c r="M139" s="411"/>
      <c r="N139" s="411"/>
      <c r="O139" s="412"/>
      <c r="P139" s="125">
        <f>+ROUND(SUM(P140:P141),2)</f>
        <v>2105.92</v>
      </c>
    </row>
    <row r="140" spans="1:16" ht="14.45" customHeight="1" x14ac:dyDescent="0.25">
      <c r="A140" s="152"/>
      <c r="B140" s="128"/>
      <c r="C140" s="153"/>
      <c r="D140" s="154" t="s">
        <v>72</v>
      </c>
      <c r="E140" s="131">
        <v>1</v>
      </c>
      <c r="F140" s="131">
        <v>2632.4</v>
      </c>
      <c r="G140" s="131">
        <v>0.8</v>
      </c>
      <c r="H140" s="131"/>
      <c r="I140" s="131"/>
      <c r="J140" s="131"/>
      <c r="K140" s="131"/>
      <c r="L140" s="131"/>
      <c r="M140" s="165">
        <f>IF(D140="M2",E140*F140*G140,IF(D140="M3",E140*F140*G140*H140,IF(D140="M",E140*F140,IF(D140="UNIDAD",E140,IF(D140="GLOBAL",E140,0)))))</f>
        <v>2105.92</v>
      </c>
      <c r="N140" s="133"/>
      <c r="O140" s="133"/>
      <c r="P140" s="166">
        <f>IF(D140="GLOBAL",E140,IF(D140="UNIDAD",E140,IF(D140="M2",((K140+L140+M140)-(N140+O140)),IF(D140="M3",((K140+L140+M140)-(N140+O140)),IF(D140="M",((K140+L140+M140)-(N140+O140)),0)))))</f>
        <v>2105.92</v>
      </c>
    </row>
    <row r="141" spans="1:16" ht="15.75" thickBot="1" x14ac:dyDescent="0.3">
      <c r="A141" s="104"/>
      <c r="B141" s="159"/>
      <c r="C141" s="180"/>
      <c r="D141" s="181"/>
      <c r="E141" s="138"/>
      <c r="F141" s="138"/>
      <c r="G141" s="161"/>
      <c r="H141" s="105"/>
      <c r="I141" s="105"/>
      <c r="J141" s="105"/>
      <c r="K141" s="105"/>
      <c r="L141" s="105"/>
      <c r="M141" s="167">
        <f>IF(D141="M2",E141*F141*G141,IF(D141="M3",E141*F141*G141*H141,IF(D141="M",E141*F141,IF(D141="UNIDAD",E141,IF(D141="GLOBAL",E141,0)))))</f>
        <v>0</v>
      </c>
      <c r="N141" s="105">
        <f>(2.79*1.29)*E141</f>
        <v>0</v>
      </c>
      <c r="O141" s="105"/>
      <c r="P141" s="168">
        <f>IF(D141="GLOBAL",E141,IF(D141="UNIDAD",E141,IF(D141="M2",((K141+L141+M141)-(N141+O141)),IF(D141="M3",((K141+L141+M141)-(N141+O141)),IF(D141="M",((K141+L141+M141)-(N141+O141)),0)))))</f>
        <v>0</v>
      </c>
    </row>
    <row r="142" spans="1:16" ht="15.75" thickBot="1" x14ac:dyDescent="0.3">
      <c r="A142" s="108"/>
      <c r="B142" s="141"/>
      <c r="C142" s="141"/>
      <c r="D142" s="141"/>
      <c r="E142" s="142"/>
      <c r="F142" s="142"/>
      <c r="G142" s="191"/>
      <c r="H142" s="142"/>
      <c r="I142" s="142"/>
      <c r="J142" s="142"/>
      <c r="K142" s="142"/>
      <c r="L142" s="142"/>
      <c r="M142" s="142"/>
      <c r="N142" s="141"/>
      <c r="O142" s="141"/>
      <c r="P142" s="108"/>
    </row>
    <row r="143" spans="1:16" ht="32.450000000000003" customHeight="1" x14ac:dyDescent="0.25">
      <c r="A143" s="151">
        <v>7.04</v>
      </c>
      <c r="B143" s="408" t="s">
        <v>74</v>
      </c>
      <c r="C143" s="409"/>
      <c r="D143" s="124" t="s">
        <v>51</v>
      </c>
      <c r="E143" s="410" t="s">
        <v>11</v>
      </c>
      <c r="F143" s="411"/>
      <c r="G143" s="411"/>
      <c r="H143" s="411"/>
      <c r="I143" s="411"/>
      <c r="J143" s="411"/>
      <c r="K143" s="411"/>
      <c r="L143" s="411"/>
      <c r="M143" s="411"/>
      <c r="N143" s="411"/>
      <c r="O143" s="412"/>
      <c r="P143" s="125">
        <f>+ROUND(SUM(P144:P145),2)</f>
        <v>1</v>
      </c>
    </row>
    <row r="144" spans="1:16" ht="14.45" customHeight="1" x14ac:dyDescent="0.25">
      <c r="A144" s="152"/>
      <c r="B144" s="128"/>
      <c r="C144" s="153"/>
      <c r="D144" s="154" t="s">
        <v>55</v>
      </c>
      <c r="E144" s="131">
        <v>1</v>
      </c>
      <c r="F144" s="131"/>
      <c r="G144" s="131">
        <v>1</v>
      </c>
      <c r="H144" s="131"/>
      <c r="I144" s="131"/>
      <c r="J144" s="131"/>
      <c r="K144" s="131"/>
      <c r="L144" s="131"/>
      <c r="M144" s="165">
        <f>IF(D144="M2",E144*F144*G144,IF(D144="M3",E144*F144*G144*H144,IF(D144="M",E144*F144,IF(D144="UND",E144,IF(D144="GLOBAL",E144,0)))))</f>
        <v>1</v>
      </c>
      <c r="N144" s="133"/>
      <c r="O144" s="133"/>
      <c r="P144" s="166">
        <f>IF(D144="GLOBAL",E144,IF(D144="UND",E144,IF(D144="M2",((K144+L144+M144)-(N144+O144)),IF(D144="M3",((K144+L144+M144)-(N144+O144)),IF(D144="M",((K144+L144+M144)-(N144+O144)),0)))))</f>
        <v>1</v>
      </c>
    </row>
    <row r="145" spans="1:16" ht="15.75" thickBot="1" x14ac:dyDescent="0.3">
      <c r="A145" s="104"/>
      <c r="B145" s="159"/>
      <c r="C145" s="180"/>
      <c r="D145" s="181"/>
      <c r="E145" s="138"/>
      <c r="F145" s="138"/>
      <c r="G145" s="161"/>
      <c r="H145" s="105"/>
      <c r="I145" s="105"/>
      <c r="J145" s="105"/>
      <c r="K145" s="105"/>
      <c r="L145" s="105"/>
      <c r="M145" s="167">
        <f>IF(D145="M2",E145*F145*G145,IF(D145="M3",E145*F145*G145*H145,IF(D145="M",E145*F145,IF(D145="UNIDAD",E145,IF(D145="GLOBAL",E145,0)))))</f>
        <v>0</v>
      </c>
      <c r="N145" s="105">
        <f>(2.79*1.29)*E145</f>
        <v>0</v>
      </c>
      <c r="O145" s="105"/>
      <c r="P145" s="168">
        <f>IF(D145="GLOBAL",E145,IF(D145="UNIDAD",E145,IF(D145="M2",((K145+L145+M145)-(N145+O145)),IF(D145="M3",((K145+L145+M145)-(N145+O145)),IF(D145="M",((K145+L145+M145)-(N145+O145)),0)))))</f>
        <v>0</v>
      </c>
    </row>
    <row r="146" spans="1:16" ht="15.75" thickBot="1" x14ac:dyDescent="0.3">
      <c r="A146" s="169"/>
      <c r="B146" s="175"/>
      <c r="C146" s="175"/>
      <c r="D146" s="143"/>
      <c r="E146" s="142"/>
    </row>
    <row r="147" spans="1:16" ht="32.450000000000003" customHeight="1" x14ac:dyDescent="0.25">
      <c r="A147" s="151">
        <v>7.05</v>
      </c>
      <c r="B147" s="408" t="s">
        <v>75</v>
      </c>
      <c r="C147" s="409"/>
      <c r="D147" s="124" t="s">
        <v>51</v>
      </c>
      <c r="E147" s="410" t="s">
        <v>11</v>
      </c>
      <c r="F147" s="411"/>
      <c r="G147" s="411"/>
      <c r="H147" s="411"/>
      <c r="I147" s="411"/>
      <c r="J147" s="411"/>
      <c r="K147" s="411"/>
      <c r="L147" s="411"/>
      <c r="M147" s="411"/>
      <c r="N147" s="411"/>
      <c r="O147" s="412"/>
      <c r="P147" s="125">
        <f>+ROUND(SUM(P148:P149),2)</f>
        <v>1</v>
      </c>
    </row>
    <row r="148" spans="1:16" ht="14.45" customHeight="1" x14ac:dyDescent="0.25">
      <c r="A148" s="152"/>
      <c r="B148" s="128"/>
      <c r="C148" s="153"/>
      <c r="D148" s="154" t="s">
        <v>55</v>
      </c>
      <c r="E148" s="131">
        <v>1</v>
      </c>
      <c r="F148" s="131"/>
      <c r="G148" s="131">
        <v>1</v>
      </c>
      <c r="H148" s="131"/>
      <c r="I148" s="131"/>
      <c r="J148" s="131"/>
      <c r="K148" s="131"/>
      <c r="L148" s="131"/>
      <c r="M148" s="165">
        <f>IF(D148="M2",E148*F148*G148,IF(D148="M3",E148*F148*G148*H148,IF(D148="M",E148*F148,IF(D148="UND",E148,IF(D148="GLOBAL",E148,0)))))</f>
        <v>1</v>
      </c>
      <c r="N148" s="133"/>
      <c r="O148" s="133"/>
      <c r="P148" s="166">
        <f>IF(D148="GLOBAL",E148,IF(D148="UND",E148,IF(D148="M2",((K148+L148+M148)-(N148+O148)),IF(D148="M3",((K148+L148+M148)-(N148+O148)),IF(D148="M",((K148+L148+M148)-(N148+O148)),0)))))</f>
        <v>1</v>
      </c>
    </row>
    <row r="149" spans="1:16" ht="15.75" thickBot="1" x14ac:dyDescent="0.3">
      <c r="A149" s="104"/>
      <c r="B149" s="159"/>
      <c r="C149" s="180"/>
      <c r="D149" s="181"/>
      <c r="E149" s="138"/>
      <c r="F149" s="138"/>
      <c r="G149" s="161"/>
      <c r="H149" s="105"/>
      <c r="I149" s="105"/>
      <c r="J149" s="105"/>
      <c r="K149" s="105"/>
      <c r="L149" s="105"/>
      <c r="M149" s="167">
        <f>IF(D149="M2",E149*F149*G149,IF(D149="M3",E149*F149*G149*H149,IF(D149="M",E149*F149,IF(D149="UNIDAD",E149,IF(D149="GLOBAL",E149,0)))))</f>
        <v>0</v>
      </c>
      <c r="N149" s="105">
        <f>(2.79*1.29)*E149</f>
        <v>0</v>
      </c>
      <c r="O149" s="105"/>
      <c r="P149" s="168">
        <f>IF(D149="GLOBAL",E149,IF(D149="UNIDAD",E149,IF(D149="M2",((K149+L149+M149)-(N149+O149)),IF(D149="M3",((K149+L149+M149)-(N149+O149)),IF(D149="M",((K149+L149+M149)-(N149+O149)),0)))))</f>
        <v>0</v>
      </c>
    </row>
    <row r="150" spans="1:16" ht="15.75" thickBot="1" x14ac:dyDescent="0.3">
      <c r="A150" s="169"/>
      <c r="B150" s="175"/>
      <c r="C150" s="175"/>
      <c r="D150" s="143"/>
      <c r="E150" s="142"/>
    </row>
    <row r="151" spans="1:16" ht="32.450000000000003" customHeight="1" x14ac:dyDescent="0.25">
      <c r="A151" s="151">
        <v>7.06</v>
      </c>
      <c r="B151" s="408" t="s">
        <v>76</v>
      </c>
      <c r="C151" s="409"/>
      <c r="D151" s="124" t="s">
        <v>42</v>
      </c>
      <c r="E151" s="410" t="s">
        <v>11</v>
      </c>
      <c r="F151" s="411"/>
      <c r="G151" s="411"/>
      <c r="H151" s="411"/>
      <c r="I151" s="411"/>
      <c r="J151" s="411"/>
      <c r="K151" s="411"/>
      <c r="L151" s="411"/>
      <c r="M151" s="411"/>
      <c r="N151" s="411"/>
      <c r="O151" s="412"/>
      <c r="P151" s="125">
        <f>+ROUND(SUM(P152:P153),2)</f>
        <v>160</v>
      </c>
    </row>
    <row r="152" spans="1:16" ht="14.45" customHeight="1" x14ac:dyDescent="0.25">
      <c r="A152" s="152"/>
      <c r="B152" s="128"/>
      <c r="C152" s="153"/>
      <c r="D152" s="154" t="s">
        <v>60</v>
      </c>
      <c r="E152" s="131">
        <v>1</v>
      </c>
      <c r="F152" s="131">
        <v>160</v>
      </c>
      <c r="G152" s="131">
        <v>1</v>
      </c>
      <c r="H152" s="131"/>
      <c r="I152" s="131"/>
      <c r="J152" s="131"/>
      <c r="K152" s="131"/>
      <c r="L152" s="131"/>
      <c r="M152" s="165">
        <f>IF(D152="M2",E152*F152*G152,IF(D152="M3",E152*F152*G152*H152,IF(D152="M",E152*F152,IF(D152="UNIDAD",E152,IF(D152="GLOBAL",E152,0)))))</f>
        <v>160</v>
      </c>
      <c r="N152" s="133"/>
      <c r="O152" s="133"/>
      <c r="P152" s="166">
        <f>IF(D152="GLOBAL",E152,IF(D152="UNIDAD",E152,IF(D152="M2",((K152+L152+M152)-(N152+O152)),IF(D152="M3",((K152+L152+M152)-(N152+O152)),IF(D152="M",((K152+L152+M152)-(N152+O152)),0)))))</f>
        <v>160</v>
      </c>
    </row>
    <row r="153" spans="1:16" ht="15.75" thickBot="1" x14ac:dyDescent="0.3">
      <c r="A153" s="104"/>
      <c r="B153" s="159"/>
      <c r="C153" s="180"/>
      <c r="D153" s="181"/>
      <c r="E153" s="138"/>
      <c r="F153" s="138"/>
      <c r="G153" s="161"/>
      <c r="H153" s="105"/>
      <c r="I153" s="105"/>
      <c r="J153" s="105"/>
      <c r="K153" s="105"/>
      <c r="L153" s="105"/>
      <c r="M153" s="167">
        <f>IF(D153="M2",E153*F153*G153,IF(D153="M3",E153*F153*G153*H153,IF(D153="M",E153*F153,IF(D153="UNIDAD",E153,IF(D153="GLOBAL",E153,0)))))</f>
        <v>0</v>
      </c>
      <c r="N153" s="105">
        <f>(2.79*1.29)*E153</f>
        <v>0</v>
      </c>
      <c r="O153" s="105"/>
      <c r="P153" s="168">
        <f>IF(D153="GLOBAL",E153,IF(D153="UNIDAD",E153,IF(D153="M2",((K153+L153+M153)-(N153+O153)),IF(D153="M3",((K153+L153+M153)-(N153+O153)),IF(D153="M",((K153+L153+M153)-(N153+O153)),0)))))</f>
        <v>0</v>
      </c>
    </row>
    <row r="154" spans="1:16" ht="15.75" thickBot="1" x14ac:dyDescent="0.3"/>
    <row r="155" spans="1:16" ht="32.450000000000003" customHeight="1" x14ac:dyDescent="0.25">
      <c r="A155" s="151">
        <v>7.07</v>
      </c>
      <c r="B155" s="408" t="s">
        <v>77</v>
      </c>
      <c r="C155" s="409"/>
      <c r="D155" s="124" t="s">
        <v>34</v>
      </c>
      <c r="E155" s="410" t="s">
        <v>11</v>
      </c>
      <c r="F155" s="411"/>
      <c r="G155" s="411"/>
      <c r="H155" s="411"/>
      <c r="I155" s="411"/>
      <c r="J155" s="411"/>
      <c r="K155" s="411"/>
      <c r="L155" s="411"/>
      <c r="M155" s="411"/>
      <c r="N155" s="411"/>
      <c r="O155" s="412"/>
      <c r="P155" s="125">
        <f>+ROUND(SUM(P156:P157),2)</f>
        <v>2105.92</v>
      </c>
    </row>
    <row r="156" spans="1:16" ht="14.45" customHeight="1" x14ac:dyDescent="0.25">
      <c r="A156" s="152"/>
      <c r="B156" s="128"/>
      <c r="C156" s="153"/>
      <c r="D156" s="154" t="s">
        <v>72</v>
      </c>
      <c r="E156" s="131">
        <v>1</v>
      </c>
      <c r="F156" s="131">
        <v>2632.4</v>
      </c>
      <c r="G156" s="131">
        <v>0.8</v>
      </c>
      <c r="H156" s="131"/>
      <c r="I156" s="131"/>
      <c r="J156" s="131"/>
      <c r="K156" s="131"/>
      <c r="L156" s="131"/>
      <c r="M156" s="165">
        <f>IF(D156="M2",E156*F156*G156,IF(D156="M3",E156*F156*G156*H156,IF(D156="M",E156*F156,IF(D156="UNIDAD",E156,IF(D156="GLOBAL",E156,0)))))</f>
        <v>2105.92</v>
      </c>
      <c r="N156" s="133"/>
      <c r="O156" s="133"/>
      <c r="P156" s="166">
        <f>IF(D156="GLOBAL",E156,IF(D156="UNIDAD",E156,IF(D156="M2",((K156+L156+M156)-(N156+O156)),IF(D156="M3",((K156+L156+M156)-(N156+O156)),IF(D156="M",((K156+L156+M156)-(N156+O156)),0)))))</f>
        <v>2105.92</v>
      </c>
    </row>
    <row r="157" spans="1:16" ht="15.75" thickBot="1" x14ac:dyDescent="0.3">
      <c r="A157" s="104"/>
      <c r="B157" s="159"/>
      <c r="C157" s="180"/>
      <c r="D157" s="181"/>
      <c r="E157" s="138"/>
      <c r="F157" s="138"/>
      <c r="G157" s="161"/>
      <c r="H157" s="105"/>
      <c r="I157" s="105"/>
      <c r="J157" s="105"/>
      <c r="K157" s="105"/>
      <c r="L157" s="105"/>
      <c r="M157" s="167">
        <f>IF(D157="M2",E157*F157*G157,IF(D157="M3",E157*F157*G157*H157,IF(D157="M",E157*F157,IF(D157="UNIDAD",E157,IF(D157="GLOBAL",E157,0)))))</f>
        <v>0</v>
      </c>
      <c r="N157" s="105">
        <f>(2.79*1.29)*E157</f>
        <v>0</v>
      </c>
      <c r="O157" s="105"/>
      <c r="P157" s="168">
        <f>IF(D157="GLOBAL",E157,IF(D157="UNIDAD",E157,IF(D157="M2",((K157+L157+M157)-(N157+O157)),IF(D157="M3",((K157+L157+M157)-(N157+O157)),IF(D157="M",((K157+L157+M157)-(N157+O157)),0)))))</f>
        <v>0</v>
      </c>
    </row>
    <row r="166" spans="3:4" x14ac:dyDescent="0.25">
      <c r="C166" s="101">
        <f>66*10/22</f>
        <v>30</v>
      </c>
    </row>
    <row r="167" spans="3:4" x14ac:dyDescent="0.25">
      <c r="C167" s="101">
        <f>2.8*0.8</f>
        <v>2.2399999999999998</v>
      </c>
    </row>
    <row r="168" spans="3:4" x14ac:dyDescent="0.25">
      <c r="C168" s="101">
        <f>+C166*C167</f>
        <v>67.199999999999989</v>
      </c>
      <c r="D168" s="101">
        <f>+C168/6</f>
        <v>11.199999999999998</v>
      </c>
    </row>
  </sheetData>
  <mergeCells count="66">
    <mergeCell ref="A1:P3"/>
    <mergeCell ref="A4:P4"/>
    <mergeCell ref="A6:A7"/>
    <mergeCell ref="B6:B7"/>
    <mergeCell ref="C6:C7"/>
    <mergeCell ref="D6:D7"/>
    <mergeCell ref="E6:E7"/>
    <mergeCell ref="F6:J6"/>
    <mergeCell ref="K6:M6"/>
    <mergeCell ref="N6:N7"/>
    <mergeCell ref="O6:O7"/>
    <mergeCell ref="P6:P7"/>
    <mergeCell ref="B11:C11"/>
    <mergeCell ref="E11:O11"/>
    <mergeCell ref="B17:C17"/>
    <mergeCell ref="E17:O17"/>
    <mergeCell ref="B24:C24"/>
    <mergeCell ref="E24:O24"/>
    <mergeCell ref="B30:C30"/>
    <mergeCell ref="E30:O30"/>
    <mergeCell ref="B39:C39"/>
    <mergeCell ref="E39:O39"/>
    <mergeCell ref="B44:C44"/>
    <mergeCell ref="E44:O44"/>
    <mergeCell ref="B50:C50"/>
    <mergeCell ref="E50:O50"/>
    <mergeCell ref="B59:C59"/>
    <mergeCell ref="E59:O59"/>
    <mergeCell ref="B64:C64"/>
    <mergeCell ref="E64:O64"/>
    <mergeCell ref="B69:C69"/>
    <mergeCell ref="E69:O69"/>
    <mergeCell ref="B76:C76"/>
    <mergeCell ref="E76:O76"/>
    <mergeCell ref="B81:C81"/>
    <mergeCell ref="E81:O81"/>
    <mergeCell ref="B86:C86"/>
    <mergeCell ref="E86:O86"/>
    <mergeCell ref="B91:C91"/>
    <mergeCell ref="E91:O91"/>
    <mergeCell ref="B96:C96"/>
    <mergeCell ref="E96:O96"/>
    <mergeCell ref="B101:C101"/>
    <mergeCell ref="E101:O101"/>
    <mergeCell ref="B106:C106"/>
    <mergeCell ref="E106:O106"/>
    <mergeCell ref="B111:C111"/>
    <mergeCell ref="E111:O111"/>
    <mergeCell ref="B117:C117"/>
    <mergeCell ref="E117:O117"/>
    <mergeCell ref="B125:C125"/>
    <mergeCell ref="E125:O125"/>
    <mergeCell ref="B131:C131"/>
    <mergeCell ref="E131:O131"/>
    <mergeCell ref="B135:C135"/>
    <mergeCell ref="E135:O135"/>
    <mergeCell ref="B139:C139"/>
    <mergeCell ref="E139:O139"/>
    <mergeCell ref="B155:C155"/>
    <mergeCell ref="E155:O155"/>
    <mergeCell ref="B143:C143"/>
    <mergeCell ref="E143:O143"/>
    <mergeCell ref="B147:C147"/>
    <mergeCell ref="E147:O147"/>
    <mergeCell ref="B151:C151"/>
    <mergeCell ref="E151:O151"/>
  </mergeCells>
  <pageMargins left="0.70866141732283472" right="0.70866141732283472" top="0.94488188976377963" bottom="0.74803149606299213" header="0.31496062992125984" footer="0.31496062992125984"/>
  <pageSetup scale="33" fitToHeight="0" orientation="landscape" r:id="rId1"/>
  <headerFooter>
    <oddHeader>&amp;L&amp;G&amp;R&amp;G</oddHeader>
  </headerFooter>
  <rowBreaks count="1" manualBreakCount="1">
    <brk id="153" max="16383" man="1"/>
  </rowBreaks>
  <colBreaks count="1" manualBreakCount="1">
    <brk id="16" max="835" man="1"/>
  </col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C2840-E71A-47B7-8D85-9C67C35D4123}">
  <dimension ref="A1:P1519"/>
  <sheetViews>
    <sheetView view="pageBreakPreview" topLeftCell="A103" zoomScale="90" zoomScaleNormal="95" zoomScaleSheetLayoutView="90" workbookViewId="0">
      <selection activeCell="A19" sqref="A19:I19"/>
    </sheetView>
  </sheetViews>
  <sheetFormatPr baseColWidth="10" defaultColWidth="11.42578125" defaultRowHeight="12.75" x14ac:dyDescent="0.25"/>
  <cols>
    <col min="1" max="2" width="7.42578125" style="192" customWidth="1"/>
    <col min="3" max="3" width="10.42578125" style="192" customWidth="1"/>
    <col min="4" max="4" width="4.42578125" style="239" customWidth="1"/>
    <col min="5" max="5" width="10.140625" style="192" customWidth="1"/>
    <col min="6" max="6" width="11.85546875" style="192" bestFit="1" customWidth="1"/>
    <col min="7" max="7" width="11.5703125" style="192" bestFit="1" customWidth="1"/>
    <col min="8" max="8" width="9.42578125" style="239" customWidth="1"/>
    <col min="9" max="9" width="11.42578125" style="192" customWidth="1"/>
    <col min="10" max="10" width="13.5703125" style="192" customWidth="1"/>
    <col min="11" max="11" width="3.42578125" style="192" customWidth="1"/>
    <col min="12" max="12" width="12.85546875" style="192" customWidth="1"/>
    <col min="13" max="13" width="14.42578125" style="192" bestFit="1" customWidth="1"/>
    <col min="14" max="14" width="12.5703125" style="192" bestFit="1" customWidth="1"/>
    <col min="15" max="15" width="11.42578125" style="192"/>
    <col min="16" max="16" width="23.28515625" style="192" customWidth="1"/>
    <col min="17" max="16384" width="11.42578125" style="192"/>
  </cols>
  <sheetData>
    <row r="1" spans="1:16" ht="13.5" thickBot="1" x14ac:dyDescent="0.3">
      <c r="A1" s="462" t="str">
        <f>+[46]PTO!$B$2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1" s="462"/>
      <c r="C1" s="462"/>
      <c r="D1" s="462"/>
      <c r="E1" s="462"/>
      <c r="F1" s="462"/>
      <c r="G1" s="462"/>
      <c r="H1" s="462"/>
      <c r="I1" s="462"/>
      <c r="J1" s="462"/>
    </row>
    <row r="2" spans="1:16" ht="42.2" customHeight="1" x14ac:dyDescent="0.25">
      <c r="A2" s="463"/>
      <c r="B2" s="463"/>
      <c r="C2" s="463"/>
      <c r="D2" s="463"/>
      <c r="E2" s="462"/>
      <c r="F2" s="462"/>
      <c r="G2" s="462"/>
      <c r="H2" s="462"/>
      <c r="I2" s="462"/>
      <c r="J2" s="462"/>
      <c r="L2" s="193"/>
      <c r="M2" s="194"/>
      <c r="N2" s="194"/>
      <c r="O2" s="194"/>
      <c r="P2" s="195"/>
    </row>
    <row r="3" spans="1:16" ht="21.75" customHeight="1" x14ac:dyDescent="0.25">
      <c r="A3" s="196" t="s">
        <v>78</v>
      </c>
      <c r="B3" s="464" t="s">
        <v>79</v>
      </c>
      <c r="C3" s="464"/>
      <c r="D3" s="464"/>
      <c r="E3" s="464"/>
      <c r="F3" s="464"/>
      <c r="G3" s="464"/>
      <c r="H3" s="464"/>
      <c r="I3" s="197" t="s">
        <v>80</v>
      </c>
      <c r="J3" s="198" t="s">
        <v>81</v>
      </c>
      <c r="L3" s="199"/>
      <c r="M3" s="200" t="s">
        <v>82</v>
      </c>
      <c r="N3" s="201" t="s">
        <v>83</v>
      </c>
      <c r="O3" s="200" t="s">
        <v>84</v>
      </c>
      <c r="P3" s="202" t="s">
        <v>85</v>
      </c>
    </row>
    <row r="4" spans="1:16" ht="17.649999999999999" customHeight="1" x14ac:dyDescent="0.25">
      <c r="A4" s="203">
        <v>1.01</v>
      </c>
      <c r="B4" s="465" t="str">
        <f>+VLOOKUP(A4,[46]PTO!$B$4:$D$28,2,FALSE)</f>
        <v>Localizacion, Trazado y replanteo</v>
      </c>
      <c r="C4" s="466"/>
      <c r="D4" s="466"/>
      <c r="E4" s="466"/>
      <c r="F4" s="466"/>
      <c r="G4" s="466"/>
      <c r="H4" s="467"/>
      <c r="I4" s="204" t="str">
        <f>+VLOOKUP(A4,[46]PTO!$B$4:$D$28,3,FALSE)</f>
        <v>m2</v>
      </c>
      <c r="J4" s="205">
        <f>+ROUND(SUM(J12:J33),0)</f>
        <v>5648</v>
      </c>
      <c r="L4" s="199" t="s">
        <v>86</v>
      </c>
      <c r="M4" s="206">
        <f>+P4+P7</f>
        <v>1623500</v>
      </c>
      <c r="N4" s="206">
        <f>+ROUND(M4/30,0)</f>
        <v>54117</v>
      </c>
      <c r="O4" s="207">
        <f>+'[47]SALARIOS Y PRESTACIONES'!$E$49</f>
        <v>0.72466368340871401</v>
      </c>
      <c r="P4" s="208">
        <v>1423500</v>
      </c>
    </row>
    <row r="5" spans="1:16" ht="15" x14ac:dyDescent="0.25">
      <c r="A5" s="459" t="s">
        <v>87</v>
      </c>
      <c r="B5" s="459"/>
      <c r="C5" s="459"/>
      <c r="D5" s="459"/>
      <c r="E5" s="442"/>
      <c r="F5" s="442"/>
      <c r="G5" s="442"/>
      <c r="H5" s="442"/>
      <c r="I5" s="442"/>
      <c r="J5" s="442"/>
      <c r="L5" s="199"/>
      <c r="M5" s="200" t="s">
        <v>88</v>
      </c>
      <c r="N5" s="201" t="s">
        <v>83</v>
      </c>
      <c r="O5" s="209"/>
      <c r="P5" s="210"/>
    </row>
    <row r="6" spans="1:16" ht="15" x14ac:dyDescent="0.25">
      <c r="A6" s="475" t="s">
        <v>2</v>
      </c>
      <c r="B6" s="475"/>
      <c r="C6" s="475"/>
      <c r="D6" s="475"/>
      <c r="E6" s="475"/>
      <c r="F6" s="211" t="s">
        <v>89</v>
      </c>
      <c r="G6" s="212" t="s">
        <v>90</v>
      </c>
      <c r="H6" s="211" t="s">
        <v>91</v>
      </c>
      <c r="I6" s="211" t="s">
        <v>92</v>
      </c>
      <c r="J6" s="213"/>
      <c r="L6" s="199" t="s">
        <v>93</v>
      </c>
      <c r="M6" s="206">
        <f>+P4*1.5+P7</f>
        <v>2335250</v>
      </c>
      <c r="N6" s="206">
        <f>+ROUND(M6/30,0)</f>
        <v>77842</v>
      </c>
      <c r="O6" s="207">
        <f>+'[47]SALARIOS Y PRESTACIONES'!$G$49</f>
        <v>0.67528776322824069</v>
      </c>
      <c r="P6" s="202" t="s">
        <v>94</v>
      </c>
    </row>
    <row r="7" spans="1:16" ht="15" x14ac:dyDescent="0.25">
      <c r="A7" s="451" t="s">
        <v>95</v>
      </c>
      <c r="B7" s="451"/>
      <c r="C7" s="451"/>
      <c r="D7" s="451"/>
      <c r="E7" s="451"/>
      <c r="F7" s="214"/>
      <c r="G7" s="215">
        <v>0.05</v>
      </c>
      <c r="H7" s="216"/>
      <c r="I7" s="217">
        <f>ROUND(J33*G7,0)</f>
        <v>206</v>
      </c>
      <c r="J7" s="213"/>
      <c r="L7" s="199"/>
      <c r="M7" s="200" t="s">
        <v>96</v>
      </c>
      <c r="N7" s="201" t="s">
        <v>83</v>
      </c>
      <c r="O7" s="209"/>
      <c r="P7" s="208">
        <v>200000</v>
      </c>
    </row>
    <row r="8" spans="1:16" ht="15" x14ac:dyDescent="0.25">
      <c r="A8" s="451"/>
      <c r="B8" s="451"/>
      <c r="C8" s="451"/>
      <c r="D8" s="451"/>
      <c r="E8" s="451"/>
      <c r="F8" s="214"/>
      <c r="G8" s="218"/>
      <c r="H8" s="216"/>
      <c r="I8" s="217">
        <f>IFERROR((ROUND(G8*H8,0)),"")</f>
        <v>0</v>
      </c>
      <c r="J8" s="213"/>
      <c r="L8" s="199" t="s">
        <v>97</v>
      </c>
      <c r="M8" s="206">
        <f>P4*2+P7</f>
        <v>3047000</v>
      </c>
      <c r="N8" s="206">
        <f>+ROUND(M8/30,0)</f>
        <v>101567</v>
      </c>
      <c r="O8" s="207">
        <f>+'[47]SALARIOS Y PRESTACIONES'!$I$49</f>
        <v>0.65197965128350721</v>
      </c>
      <c r="P8" s="210"/>
    </row>
    <row r="9" spans="1:16" ht="15" x14ac:dyDescent="0.25">
      <c r="A9" s="451"/>
      <c r="B9" s="451"/>
      <c r="C9" s="451"/>
      <c r="D9" s="451"/>
      <c r="E9" s="451"/>
      <c r="F9" s="214"/>
      <c r="G9" s="218"/>
      <c r="H9" s="216"/>
      <c r="I9" s="219"/>
      <c r="J9" s="213"/>
      <c r="L9" s="199"/>
      <c r="M9" s="200" t="s">
        <v>98</v>
      </c>
      <c r="N9" s="201" t="s">
        <v>83</v>
      </c>
      <c r="O9" s="209"/>
      <c r="P9" s="210"/>
    </row>
    <row r="10" spans="1:16" ht="15.75" thickBot="1" x14ac:dyDescent="0.3">
      <c r="A10" s="451"/>
      <c r="B10" s="451"/>
      <c r="C10" s="451"/>
      <c r="D10" s="451"/>
      <c r="E10" s="451"/>
      <c r="F10" s="214"/>
      <c r="G10" s="218"/>
      <c r="H10" s="216"/>
      <c r="I10" s="219"/>
      <c r="J10" s="213"/>
      <c r="L10" s="199" t="s">
        <v>99</v>
      </c>
      <c r="M10" s="220">
        <f>+P4*3</f>
        <v>4270500</v>
      </c>
      <c r="N10" s="220">
        <f>+ROUND(M10/30,0)</f>
        <v>142350</v>
      </c>
      <c r="O10" s="221">
        <f>+'[47]SALARIOS Y PRESTACIONES'!$K$49</f>
        <v>0.58210086280158058</v>
      </c>
      <c r="P10" s="222"/>
    </row>
    <row r="11" spans="1:16" x14ac:dyDescent="0.25">
      <c r="A11" s="451"/>
      <c r="B11" s="451"/>
      <c r="C11" s="451"/>
      <c r="D11" s="451"/>
      <c r="E11" s="451"/>
      <c r="F11" s="214"/>
      <c r="G11" s="218"/>
      <c r="H11" s="216"/>
      <c r="I11" s="219"/>
      <c r="J11" s="219"/>
    </row>
    <row r="12" spans="1:16" ht="14.45" customHeight="1" x14ac:dyDescent="0.25">
      <c r="A12" s="437" t="s">
        <v>100</v>
      </c>
      <c r="B12" s="438"/>
      <c r="C12" s="438"/>
      <c r="D12" s="438"/>
      <c r="E12" s="438"/>
      <c r="F12" s="438"/>
      <c r="G12" s="438"/>
      <c r="H12" s="438"/>
      <c r="I12" s="439"/>
      <c r="J12" s="217">
        <f>I7</f>
        <v>206</v>
      </c>
    </row>
    <row r="13" spans="1:16" x14ac:dyDescent="0.25">
      <c r="A13" s="442" t="s">
        <v>101</v>
      </c>
      <c r="B13" s="442"/>
      <c r="C13" s="442"/>
      <c r="D13" s="442"/>
      <c r="E13" s="442"/>
      <c r="F13" s="442"/>
      <c r="G13" s="442"/>
      <c r="H13" s="442"/>
      <c r="I13" s="442"/>
      <c r="J13" s="442"/>
    </row>
    <row r="14" spans="1:16" x14ac:dyDescent="0.25">
      <c r="A14" s="452" t="s">
        <v>2</v>
      </c>
      <c r="B14" s="453"/>
      <c r="C14" s="453"/>
      <c r="D14" s="454"/>
      <c r="E14" s="223" t="s">
        <v>3</v>
      </c>
      <c r="F14" s="223" t="s">
        <v>102</v>
      </c>
      <c r="G14" s="223" t="s">
        <v>4</v>
      </c>
      <c r="H14" s="223" t="s">
        <v>103</v>
      </c>
      <c r="I14" s="223" t="s">
        <v>92</v>
      </c>
      <c r="J14" s="213"/>
    </row>
    <row r="15" spans="1:16" x14ac:dyDescent="0.25">
      <c r="A15" s="444" t="s">
        <v>104</v>
      </c>
      <c r="B15" s="445"/>
      <c r="C15" s="445"/>
      <c r="D15" s="445"/>
      <c r="E15" s="224" t="str">
        <f>+IF(A15="","",VLOOKUP(A15,[46]MATERIALES!$B$7:$D$225,2,FALSE))</f>
        <v>UN</v>
      </c>
      <c r="F15" s="225">
        <f>+IF(A15="","",VLOOKUP(A15,[46]MATERIALES!$B$7:$E$225,3,FALSE))</f>
        <v>18000</v>
      </c>
      <c r="G15" s="226">
        <v>0.05</v>
      </c>
      <c r="H15" s="227">
        <v>0.05</v>
      </c>
      <c r="I15" s="228">
        <f t="shared" ref="I15:I17" si="0">IFERROR((ROUND((F15*G15*(1+H15)),0)),"")</f>
        <v>945</v>
      </c>
      <c r="J15" s="213"/>
    </row>
    <row r="16" spans="1:16" x14ac:dyDescent="0.25">
      <c r="A16" s="444" t="s">
        <v>105</v>
      </c>
      <c r="B16" s="445"/>
      <c r="C16" s="445"/>
      <c r="D16" s="445"/>
      <c r="E16" s="224" t="str">
        <f>+IF(A16="","",VLOOKUP(A16,[46]MATERIALES!$B$7:$D$225,2,FALSE))</f>
        <v>libra</v>
      </c>
      <c r="F16" s="225">
        <f>+IF(A16="","",VLOOKUP(A16,[46]MATERIALES!$B$7:$E$225,3,FALSE))</f>
        <v>4500</v>
      </c>
      <c r="G16" s="226">
        <v>0.08</v>
      </c>
      <c r="H16" s="227">
        <v>0.05</v>
      </c>
      <c r="I16" s="228">
        <f t="shared" si="0"/>
        <v>378</v>
      </c>
      <c r="J16" s="213"/>
    </row>
    <row r="17" spans="1:12" x14ac:dyDescent="0.25">
      <c r="A17" s="444"/>
      <c r="B17" s="445"/>
      <c r="C17" s="445"/>
      <c r="D17" s="446"/>
      <c r="E17" s="213"/>
      <c r="F17" s="214"/>
      <c r="G17" s="218"/>
      <c r="H17" s="229"/>
      <c r="I17" s="228">
        <f t="shared" si="0"/>
        <v>0</v>
      </c>
      <c r="J17" s="213"/>
    </row>
    <row r="18" spans="1:12" x14ac:dyDescent="0.25">
      <c r="A18" s="444"/>
      <c r="B18" s="445"/>
      <c r="C18" s="445"/>
      <c r="D18" s="446"/>
      <c r="E18" s="213"/>
      <c r="F18" s="214"/>
      <c r="G18" s="218"/>
      <c r="H18" s="216"/>
      <c r="I18" s="219"/>
      <c r="J18" s="213"/>
    </row>
    <row r="19" spans="1:12" x14ac:dyDescent="0.25">
      <c r="A19" s="437" t="s">
        <v>100</v>
      </c>
      <c r="B19" s="438"/>
      <c r="C19" s="438"/>
      <c r="D19" s="438"/>
      <c r="E19" s="438"/>
      <c r="F19" s="438"/>
      <c r="G19" s="438"/>
      <c r="H19" s="438"/>
      <c r="I19" s="439"/>
      <c r="J19" s="219">
        <f>SUM(I15:I18)</f>
        <v>1323</v>
      </c>
    </row>
    <row r="20" spans="1:12" x14ac:dyDescent="0.25">
      <c r="A20" s="442" t="s">
        <v>106</v>
      </c>
      <c r="B20" s="442"/>
      <c r="C20" s="442"/>
      <c r="D20" s="442"/>
      <c r="E20" s="442"/>
      <c r="F20" s="442"/>
      <c r="G20" s="442"/>
      <c r="H20" s="442"/>
      <c r="I20" s="442"/>
      <c r="J20" s="442"/>
    </row>
    <row r="21" spans="1:12" ht="22.5" x14ac:dyDescent="0.25">
      <c r="A21" s="443" t="s">
        <v>107</v>
      </c>
      <c r="B21" s="443"/>
      <c r="C21" s="443"/>
      <c r="D21" s="443"/>
      <c r="E21" s="223" t="s">
        <v>108</v>
      </c>
      <c r="F21" s="230" t="s">
        <v>109</v>
      </c>
      <c r="G21" s="223" t="s">
        <v>110</v>
      </c>
      <c r="H21" s="223" t="s">
        <v>111</v>
      </c>
      <c r="I21" s="223" t="s">
        <v>92</v>
      </c>
      <c r="J21" s="213"/>
    </row>
    <row r="22" spans="1:12" ht="12.75" customHeight="1" x14ac:dyDescent="0.25">
      <c r="A22" s="472"/>
      <c r="B22" s="473"/>
      <c r="C22" s="473"/>
      <c r="D22" s="474"/>
      <c r="E22" s="216"/>
      <c r="F22" s="224"/>
      <c r="G22" s="231"/>
      <c r="H22" s="216"/>
      <c r="I22" s="228"/>
      <c r="J22" s="213"/>
      <c r="L22" s="232"/>
    </row>
    <row r="23" spans="1:12" x14ac:dyDescent="0.25">
      <c r="A23" s="447"/>
      <c r="B23" s="447"/>
      <c r="C23" s="447"/>
      <c r="D23" s="447"/>
      <c r="E23" s="213"/>
      <c r="F23" s="214"/>
      <c r="G23" s="231"/>
      <c r="H23" s="216"/>
      <c r="I23" s="219"/>
      <c r="J23" s="213"/>
    </row>
    <row r="24" spans="1:12" x14ac:dyDescent="0.25">
      <c r="A24" s="447"/>
      <c r="B24" s="447"/>
      <c r="C24" s="447"/>
      <c r="D24" s="447"/>
      <c r="E24" s="213"/>
      <c r="F24" s="214"/>
      <c r="G24" s="233"/>
      <c r="H24" s="216"/>
      <c r="I24" s="219"/>
      <c r="J24" s="213"/>
    </row>
    <row r="25" spans="1:12" x14ac:dyDescent="0.25">
      <c r="A25" s="447"/>
      <c r="B25" s="447"/>
      <c r="C25" s="447"/>
      <c r="D25" s="447"/>
      <c r="E25" s="213"/>
      <c r="F25" s="213"/>
      <c r="G25" s="213"/>
      <c r="H25" s="211"/>
      <c r="I25" s="213"/>
      <c r="J25" s="213"/>
    </row>
    <row r="26" spans="1:12" x14ac:dyDescent="0.25">
      <c r="A26" s="447"/>
      <c r="B26" s="447"/>
      <c r="C26" s="447"/>
      <c r="D26" s="447"/>
      <c r="E26" s="213"/>
      <c r="F26" s="213"/>
      <c r="G26" s="213"/>
      <c r="H26" s="211"/>
      <c r="I26" s="223" t="s">
        <v>100</v>
      </c>
      <c r="J26" s="219">
        <f>SUM(I21:I25)</f>
        <v>0</v>
      </c>
    </row>
    <row r="27" spans="1:12" x14ac:dyDescent="0.25">
      <c r="A27" s="442" t="s">
        <v>112</v>
      </c>
      <c r="B27" s="442"/>
      <c r="C27" s="442"/>
      <c r="D27" s="442"/>
      <c r="E27" s="442"/>
      <c r="F27" s="442"/>
      <c r="G27" s="442"/>
      <c r="H27" s="442"/>
      <c r="I27" s="442"/>
      <c r="J27" s="442"/>
    </row>
    <row r="28" spans="1:12" x14ac:dyDescent="0.25">
      <c r="A28" s="443" t="s">
        <v>113</v>
      </c>
      <c r="B28" s="443"/>
      <c r="C28" s="443"/>
      <c r="D28" s="443"/>
      <c r="E28" s="223" t="s">
        <v>114</v>
      </c>
      <c r="F28" s="223" t="s">
        <v>115</v>
      </c>
      <c r="G28" s="234" t="s">
        <v>116</v>
      </c>
      <c r="H28" s="223" t="s">
        <v>91</v>
      </c>
      <c r="I28" s="223" t="s">
        <v>92</v>
      </c>
      <c r="J28" s="213"/>
    </row>
    <row r="29" spans="1:12" x14ac:dyDescent="0.25">
      <c r="A29" s="444" t="s">
        <v>99</v>
      </c>
      <c r="B29" s="445"/>
      <c r="C29" s="446"/>
      <c r="D29" s="211">
        <v>1</v>
      </c>
      <c r="E29" s="235">
        <f>+IF(D29="","",VLOOKUP(A29,$L$4:$O$10,3,FALSE))</f>
        <v>142350</v>
      </c>
      <c r="F29" s="236">
        <f>+IF(D29="","",(VLOOKUP(A29,$L$4:$O$10,4,FALSE))+1)</f>
        <v>1.5821008628015805</v>
      </c>
      <c r="G29" s="219">
        <f t="shared" ref="G29:G30" si="1">+IFERROR(F29*E29*D29,"")</f>
        <v>225212.05781980499</v>
      </c>
      <c r="H29" s="216">
        <v>100</v>
      </c>
      <c r="I29" s="228">
        <f t="shared" ref="I29:I30" si="2">+ROUND(G29/H29,0)</f>
        <v>2252</v>
      </c>
      <c r="J29" s="213"/>
    </row>
    <row r="30" spans="1:12" x14ac:dyDescent="0.25">
      <c r="A30" s="444" t="s">
        <v>86</v>
      </c>
      <c r="B30" s="445"/>
      <c r="C30" s="446"/>
      <c r="D30" s="211">
        <v>2</v>
      </c>
      <c r="E30" s="235">
        <f>+IF(D30="","",VLOOKUP(A30,$L$4:$O$10,3,FALSE))</f>
        <v>54117</v>
      </c>
      <c r="F30" s="236">
        <f>+IF(D30="","",(VLOOKUP(A30,$L$4:$O$10,4,FALSE))+1)</f>
        <v>1.7246636834087141</v>
      </c>
      <c r="G30" s="219">
        <f t="shared" si="1"/>
        <v>186667.24911005876</v>
      </c>
      <c r="H30" s="216">
        <f>+H29</f>
        <v>100</v>
      </c>
      <c r="I30" s="228">
        <f t="shared" si="2"/>
        <v>1867</v>
      </c>
      <c r="J30" s="213"/>
    </row>
    <row r="31" spans="1:12" x14ac:dyDescent="0.25">
      <c r="A31" s="444"/>
      <c r="B31" s="445"/>
      <c r="C31" s="446"/>
      <c r="D31" s="211"/>
      <c r="E31" s="235" t="str">
        <f>+IF(D31="","",VLOOKUP(A31,$L$4:$O$10,3,FALSE))</f>
        <v/>
      </c>
      <c r="F31" s="236" t="str">
        <f>+IF(D31="","",(VLOOKUP(A31,$L$4:$O$10,4,FALSE))+1)</f>
        <v/>
      </c>
      <c r="G31" s="219" t="str">
        <f>+IFERROR(F31*E31*D31,"")</f>
        <v/>
      </c>
      <c r="H31" s="216"/>
      <c r="I31" s="228"/>
      <c r="J31" s="213"/>
    </row>
    <row r="32" spans="1:12" x14ac:dyDescent="0.25">
      <c r="A32" s="444"/>
      <c r="B32" s="445"/>
      <c r="C32" s="446"/>
      <c r="D32" s="213"/>
      <c r="E32" s="213"/>
      <c r="F32" s="213"/>
      <c r="G32" s="213"/>
      <c r="H32" s="211"/>
      <c r="I32" s="228"/>
      <c r="J32" s="213"/>
    </row>
    <row r="33" spans="1:12" x14ac:dyDescent="0.25">
      <c r="A33" s="437" t="s">
        <v>100</v>
      </c>
      <c r="B33" s="438"/>
      <c r="C33" s="438"/>
      <c r="D33" s="438"/>
      <c r="E33" s="438"/>
      <c r="F33" s="438"/>
      <c r="G33" s="438"/>
      <c r="H33" s="438"/>
      <c r="I33" s="439"/>
      <c r="J33" s="217">
        <f>SUM(I29:I31)</f>
        <v>4119</v>
      </c>
    </row>
    <row r="34" spans="1:12" x14ac:dyDescent="0.25">
      <c r="A34" s="462" t="str">
        <f>+A1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34" s="462"/>
      <c r="C34" s="462"/>
      <c r="D34" s="462"/>
      <c r="E34" s="462"/>
      <c r="F34" s="462"/>
      <c r="G34" s="462"/>
      <c r="H34" s="462"/>
      <c r="I34" s="462"/>
      <c r="J34" s="462"/>
    </row>
    <row r="35" spans="1:12" ht="33.950000000000003" customHeight="1" x14ac:dyDescent="0.25">
      <c r="A35" s="463"/>
      <c r="B35" s="463"/>
      <c r="C35" s="463"/>
      <c r="D35" s="463"/>
      <c r="E35" s="463"/>
      <c r="F35" s="463"/>
      <c r="G35" s="463"/>
      <c r="H35" s="463"/>
      <c r="I35" s="462"/>
      <c r="J35" s="462"/>
    </row>
    <row r="36" spans="1:12" ht="20.45" customHeight="1" x14ac:dyDescent="0.25">
      <c r="A36" s="196" t="s">
        <v>78</v>
      </c>
      <c r="B36" s="464" t="s">
        <v>79</v>
      </c>
      <c r="C36" s="464"/>
      <c r="D36" s="464"/>
      <c r="E36" s="464"/>
      <c r="F36" s="464"/>
      <c r="G36" s="464"/>
      <c r="H36" s="464"/>
      <c r="I36" s="197" t="s">
        <v>80</v>
      </c>
      <c r="J36" s="198" t="s">
        <v>81</v>
      </c>
    </row>
    <row r="37" spans="1:12" ht="21.2" customHeight="1" x14ac:dyDescent="0.25">
      <c r="A37" s="203">
        <v>1.02</v>
      </c>
      <c r="B37" s="465" t="str">
        <f>+VLOOKUP(A37,[46]PTO!$B$4:$D$28,2,FALSE)</f>
        <v>Descapote y limpieza del terreno donde se desarrolla el proyecto. Incluye transporte y disposición final de los materiales.</v>
      </c>
      <c r="C37" s="466"/>
      <c r="D37" s="466"/>
      <c r="E37" s="466"/>
      <c r="F37" s="466"/>
      <c r="G37" s="466"/>
      <c r="H37" s="467"/>
      <c r="I37" s="204" t="str">
        <f>+VLOOKUP(A37,[46]PTO!$B$4:$D$28,3,FALSE)</f>
        <v>m2</v>
      </c>
      <c r="J37" s="237">
        <f>+ROUND(SUM(J45:J67),0)</f>
        <v>32799</v>
      </c>
      <c r="L37" s="232" t="e">
        <f>+VLOOKUP(A37,[46]PTO!$B$5:$E$385,5,FALSE)</f>
        <v>#REF!</v>
      </c>
    </row>
    <row r="38" spans="1:12" x14ac:dyDescent="0.25">
      <c r="A38" s="459" t="s">
        <v>87</v>
      </c>
      <c r="B38" s="459"/>
      <c r="C38" s="459"/>
      <c r="D38" s="459"/>
      <c r="E38" s="459"/>
      <c r="F38" s="459"/>
      <c r="G38" s="459"/>
      <c r="H38" s="459"/>
      <c r="I38" s="442"/>
      <c r="J38" s="442"/>
    </row>
    <row r="39" spans="1:12" x14ac:dyDescent="0.25">
      <c r="A39" s="460" t="s">
        <v>2</v>
      </c>
      <c r="B39" s="460"/>
      <c r="C39" s="460"/>
      <c r="D39" s="460"/>
      <c r="E39" s="460"/>
      <c r="F39" s="223" t="s">
        <v>89</v>
      </c>
      <c r="G39" s="234" t="s">
        <v>90</v>
      </c>
      <c r="H39" s="223" t="s">
        <v>91</v>
      </c>
      <c r="I39" s="223" t="s">
        <v>92</v>
      </c>
      <c r="J39" s="213"/>
    </row>
    <row r="40" spans="1:12" x14ac:dyDescent="0.25">
      <c r="A40" s="451" t="s">
        <v>95</v>
      </c>
      <c r="B40" s="451"/>
      <c r="C40" s="451"/>
      <c r="D40" s="451"/>
      <c r="E40" s="451"/>
      <c r="F40" s="214"/>
      <c r="G40" s="215">
        <v>0.05</v>
      </c>
      <c r="H40" s="216"/>
      <c r="I40" s="228">
        <f>ROUND(J67*G40,0)</f>
        <v>173</v>
      </c>
      <c r="J40" s="213"/>
    </row>
    <row r="41" spans="1:12" x14ac:dyDescent="0.25">
      <c r="A41" s="451" t="s">
        <v>117</v>
      </c>
      <c r="B41" s="451"/>
      <c r="C41" s="451"/>
      <c r="D41" s="451"/>
      <c r="E41" s="451"/>
      <c r="F41" s="224" t="str">
        <f>+IF(A41="","",VLOOKUP(A41,[46]MATERIALES!$B$7:$D$1222,2,FALSE))</f>
        <v>DIA</v>
      </c>
      <c r="G41" s="225">
        <f>+IF(A41="","",VLOOKUP(A41,[46]MATERIALES!$B$7:$E$1222,3,FALSE))</f>
        <v>3500000</v>
      </c>
      <c r="H41" s="238">
        <f>IF(A41="","",IFERROR(1/H63,""))</f>
        <v>7.6923076923076927E-3</v>
      </c>
      <c r="I41" s="228">
        <f>IFERROR((ROUND(G41*H41,0)),"")</f>
        <v>26923</v>
      </c>
      <c r="J41" s="213"/>
    </row>
    <row r="42" spans="1:12" x14ac:dyDescent="0.25">
      <c r="A42" s="451"/>
      <c r="B42" s="451"/>
      <c r="C42" s="451"/>
      <c r="D42" s="451"/>
      <c r="E42" s="451"/>
      <c r="F42" s="224" t="str">
        <f>+IF(A42="","",VLOOKUP(A42,[46]MATERIALES!$B$7:$D$1222,2,FALSE))</f>
        <v/>
      </c>
      <c r="G42" s="225" t="str">
        <f>+IF(A42="","",VLOOKUP(A42,[46]MATERIALES!$B$7:$E$1222,3,FALSE))</f>
        <v/>
      </c>
      <c r="H42" s="238" t="str">
        <f>IF(A42="","",IFERROR(1/H64,""))</f>
        <v/>
      </c>
      <c r="I42" s="228" t="str">
        <f>IFERROR((ROUND(G42*H42,0)),"")</f>
        <v/>
      </c>
      <c r="J42" s="213"/>
    </row>
    <row r="43" spans="1:12" x14ac:dyDescent="0.25">
      <c r="A43" s="451"/>
      <c r="B43" s="451"/>
      <c r="C43" s="451"/>
      <c r="D43" s="451"/>
      <c r="E43" s="451"/>
      <c r="F43" s="214"/>
      <c r="G43" s="218"/>
      <c r="H43" s="216"/>
      <c r="I43" s="217"/>
      <c r="J43" s="213"/>
    </row>
    <row r="44" spans="1:12" x14ac:dyDescent="0.25">
      <c r="A44" s="451"/>
      <c r="B44" s="451"/>
      <c r="C44" s="451"/>
      <c r="D44" s="451"/>
      <c r="E44" s="451"/>
      <c r="F44" s="214"/>
      <c r="G44" s="218"/>
      <c r="H44" s="216"/>
      <c r="I44" s="217"/>
      <c r="J44" s="219"/>
    </row>
    <row r="45" spans="1:12" x14ac:dyDescent="0.25">
      <c r="A45" s="437" t="s">
        <v>100</v>
      </c>
      <c r="B45" s="438"/>
      <c r="C45" s="438"/>
      <c r="D45" s="438"/>
      <c r="E45" s="438"/>
      <c r="F45" s="438"/>
      <c r="G45" s="438"/>
      <c r="H45" s="438"/>
      <c r="I45" s="439"/>
      <c r="J45" s="217">
        <f>+SUM(I40:I44)</f>
        <v>27096</v>
      </c>
    </row>
    <row r="46" spans="1:12" x14ac:dyDescent="0.25">
      <c r="A46" s="442" t="s">
        <v>101</v>
      </c>
      <c r="B46" s="442"/>
      <c r="C46" s="442"/>
      <c r="D46" s="442"/>
      <c r="E46" s="442"/>
      <c r="F46" s="442"/>
      <c r="G46" s="442"/>
      <c r="H46" s="442"/>
      <c r="I46" s="442"/>
      <c r="J46" s="442"/>
    </row>
    <row r="47" spans="1:12" x14ac:dyDescent="0.25">
      <c r="A47" s="452" t="s">
        <v>2</v>
      </c>
      <c r="B47" s="453"/>
      <c r="C47" s="453"/>
      <c r="D47" s="454"/>
      <c r="E47" s="223" t="s">
        <v>3</v>
      </c>
      <c r="F47" s="223" t="s">
        <v>102</v>
      </c>
      <c r="G47" s="223" t="s">
        <v>4</v>
      </c>
      <c r="H47" s="223" t="s">
        <v>103</v>
      </c>
      <c r="I47" s="223" t="s">
        <v>92</v>
      </c>
      <c r="J47" s="213"/>
    </row>
    <row r="48" spans="1:12" x14ac:dyDescent="0.25">
      <c r="A48" s="444"/>
      <c r="B48" s="445"/>
      <c r="C48" s="445"/>
      <c r="D48" s="446"/>
      <c r="E48" s="224" t="str">
        <f>+IF(A48="","",VLOOKUP(A48,[46]MATERIALES!$B$7:$D$225,2,FALSE))</f>
        <v/>
      </c>
      <c r="F48" s="225" t="str">
        <f>+IF(A48="","",VLOOKUP(A48,[46]MATERIALES!$B$7:$E$225,3,FALSE))</f>
        <v/>
      </c>
      <c r="G48" s="226"/>
      <c r="H48" s="227"/>
      <c r="I48" s="228" t="str">
        <f>IFERROR((ROUND((F48*G48*(1+H48)),0)),"")</f>
        <v/>
      </c>
      <c r="J48" s="213"/>
    </row>
    <row r="49" spans="1:12" x14ac:dyDescent="0.25">
      <c r="A49" s="444"/>
      <c r="B49" s="445"/>
      <c r="C49" s="445"/>
      <c r="D49" s="446"/>
      <c r="E49" s="224" t="str">
        <f>+IF(A49="","",VLOOKUP(A49,[46]MATERIALES!$B$7:$D$225,2,FALSE))</f>
        <v/>
      </c>
      <c r="F49" s="225" t="str">
        <f>+IF(A49="","",VLOOKUP(A49,[46]MATERIALES!$B$7:$E$225,3,FALSE))</f>
        <v/>
      </c>
      <c r="G49" s="226"/>
      <c r="H49" s="227"/>
      <c r="I49" s="228" t="str">
        <f t="shared" ref="I49:I52" si="3">IFERROR((ROUND((F49*G49*(1+H49)),0)),"")</f>
        <v/>
      </c>
      <c r="J49" s="213"/>
    </row>
    <row r="50" spans="1:12" x14ac:dyDescent="0.25">
      <c r="A50" s="444"/>
      <c r="B50" s="445"/>
      <c r="C50" s="445"/>
      <c r="D50" s="446"/>
      <c r="E50" s="224" t="str">
        <f>+IF(A50="","",VLOOKUP(A50,[46]MATERIALES!$B$7:$D$225,2,FALSE))</f>
        <v/>
      </c>
      <c r="F50" s="225" t="str">
        <f>+IF(A50="","",VLOOKUP(A50,[46]MATERIALES!$B$7:$E$225,3,FALSE))</f>
        <v/>
      </c>
      <c r="G50" s="239"/>
      <c r="H50" s="227"/>
      <c r="I50" s="228" t="str">
        <f t="shared" si="3"/>
        <v/>
      </c>
      <c r="J50" s="213"/>
    </row>
    <row r="51" spans="1:12" x14ac:dyDescent="0.25">
      <c r="A51" s="444"/>
      <c r="B51" s="445"/>
      <c r="C51" s="445"/>
      <c r="D51" s="446"/>
      <c r="E51" s="213"/>
      <c r="F51" s="214"/>
      <c r="G51" s="218"/>
      <c r="H51" s="227"/>
      <c r="I51" s="228">
        <f t="shared" si="3"/>
        <v>0</v>
      </c>
      <c r="J51" s="213"/>
    </row>
    <row r="52" spans="1:12" x14ac:dyDescent="0.25">
      <c r="A52" s="444"/>
      <c r="B52" s="445"/>
      <c r="C52" s="445"/>
      <c r="D52" s="446"/>
      <c r="E52" s="213"/>
      <c r="F52" s="214"/>
      <c r="G52" s="218"/>
      <c r="H52" s="216"/>
      <c r="I52" s="228">
        <f t="shared" si="3"/>
        <v>0</v>
      </c>
      <c r="J52" s="213"/>
    </row>
    <row r="53" spans="1:12" x14ac:dyDescent="0.25">
      <c r="A53" s="437" t="s">
        <v>100</v>
      </c>
      <c r="B53" s="438"/>
      <c r="C53" s="438"/>
      <c r="D53" s="438"/>
      <c r="E53" s="438"/>
      <c r="F53" s="438"/>
      <c r="G53" s="438"/>
      <c r="H53" s="438"/>
      <c r="I53" s="439"/>
      <c r="J53" s="217">
        <f>SUM(I48:I52)</f>
        <v>0</v>
      </c>
    </row>
    <row r="54" spans="1:12" x14ac:dyDescent="0.25">
      <c r="A54" s="442" t="s">
        <v>106</v>
      </c>
      <c r="B54" s="442"/>
      <c r="C54" s="442"/>
      <c r="D54" s="442"/>
      <c r="E54" s="442"/>
      <c r="F54" s="442"/>
      <c r="G54" s="442"/>
      <c r="H54" s="442"/>
      <c r="I54" s="442"/>
      <c r="J54" s="442"/>
    </row>
    <row r="55" spans="1:12" ht="22.5" x14ac:dyDescent="0.25">
      <c r="A55" s="443" t="s">
        <v>107</v>
      </c>
      <c r="B55" s="443"/>
      <c r="C55" s="443"/>
      <c r="D55" s="443"/>
      <c r="E55" s="223" t="s">
        <v>108</v>
      </c>
      <c r="F55" s="230" t="s">
        <v>109</v>
      </c>
      <c r="G55" s="223" t="s">
        <v>110</v>
      </c>
      <c r="H55" s="223" t="s">
        <v>111</v>
      </c>
      <c r="I55" s="223" t="s">
        <v>92</v>
      </c>
      <c r="J55" s="213"/>
      <c r="L55" s="192">
        <f>1/[48]PRESUPUESTO!E5</f>
        <v>4.4642857142857144E-2</v>
      </c>
    </row>
    <row r="56" spans="1:12" ht="22.35" customHeight="1" x14ac:dyDescent="0.25">
      <c r="A56" s="472" t="s">
        <v>118</v>
      </c>
      <c r="B56" s="473"/>
      <c r="C56" s="473"/>
      <c r="D56" s="474"/>
      <c r="E56" s="216" t="str">
        <f>+IF(A56="","",VLOOKUP(A56,[46]MATERIALES!$B$7:$E$1222,2,FALSE))</f>
        <v>M3</v>
      </c>
      <c r="F56" s="240">
        <v>0.15</v>
      </c>
      <c r="G56" s="231">
        <f>+IF(A56="","",VLOOKUP(A56,[46]MATERIALES!$B$7:$E$1222,4,FALSE))</f>
        <v>5</v>
      </c>
      <c r="H56" s="216">
        <f>+IF(A56="","",VLOOKUP(A56,[46]MATERIALES!$B$7:$E$1222,3,FALSE))</f>
        <v>3000</v>
      </c>
      <c r="I56" s="228">
        <f>IFERROR((ROUND(G56*H56*F56,0)),"")</f>
        <v>2250</v>
      </c>
      <c r="J56" s="213"/>
    </row>
    <row r="57" spans="1:12" x14ac:dyDescent="0.25">
      <c r="A57" s="472"/>
      <c r="B57" s="473"/>
      <c r="C57" s="473"/>
      <c r="D57" s="474"/>
      <c r="E57" s="213"/>
      <c r="F57" s="214"/>
      <c r="G57" s="231"/>
      <c r="H57" s="216"/>
      <c r="I57" s="219"/>
      <c r="J57" s="213"/>
    </row>
    <row r="58" spans="1:12" x14ac:dyDescent="0.25">
      <c r="A58" s="472"/>
      <c r="B58" s="473"/>
      <c r="C58" s="473"/>
      <c r="D58" s="474"/>
      <c r="E58" s="213"/>
      <c r="F58" s="214"/>
      <c r="G58" s="233"/>
      <c r="H58" s="216"/>
      <c r="I58" s="219"/>
      <c r="J58" s="213"/>
    </row>
    <row r="59" spans="1:12" x14ac:dyDescent="0.25">
      <c r="A59" s="472"/>
      <c r="B59" s="473"/>
      <c r="C59" s="473"/>
      <c r="D59" s="474"/>
      <c r="E59" s="213"/>
      <c r="F59" s="213"/>
      <c r="G59" s="213"/>
      <c r="H59" s="211"/>
      <c r="I59" s="213"/>
      <c r="J59" s="213"/>
    </row>
    <row r="60" spans="1:12" x14ac:dyDescent="0.25">
      <c r="A60" s="437" t="s">
        <v>100</v>
      </c>
      <c r="B60" s="438"/>
      <c r="C60" s="438"/>
      <c r="D60" s="438"/>
      <c r="E60" s="438"/>
      <c r="F60" s="438"/>
      <c r="G60" s="438"/>
      <c r="H60" s="438"/>
      <c r="I60" s="439"/>
      <c r="J60" s="217">
        <f>SUM(I56:I59)</f>
        <v>2250</v>
      </c>
    </row>
    <row r="61" spans="1:12" x14ac:dyDescent="0.25">
      <c r="A61" s="442" t="s">
        <v>112</v>
      </c>
      <c r="B61" s="442"/>
      <c r="C61" s="442"/>
      <c r="D61" s="442"/>
      <c r="E61" s="442"/>
      <c r="F61" s="442"/>
      <c r="G61" s="442"/>
      <c r="H61" s="442"/>
      <c r="I61" s="442"/>
      <c r="J61" s="442"/>
    </row>
    <row r="62" spans="1:12" x14ac:dyDescent="0.25">
      <c r="A62" s="443" t="s">
        <v>113</v>
      </c>
      <c r="B62" s="443"/>
      <c r="C62" s="443"/>
      <c r="D62" s="443"/>
      <c r="E62" s="223" t="s">
        <v>114</v>
      </c>
      <c r="F62" s="223" t="s">
        <v>115</v>
      </c>
      <c r="G62" s="234" t="s">
        <v>116</v>
      </c>
      <c r="H62" s="223" t="s">
        <v>91</v>
      </c>
      <c r="I62" s="223" t="s">
        <v>92</v>
      </c>
      <c r="J62" s="213"/>
    </row>
    <row r="63" spans="1:12" x14ac:dyDescent="0.25">
      <c r="A63" s="444" t="s">
        <v>99</v>
      </c>
      <c r="B63" s="445"/>
      <c r="C63" s="446"/>
      <c r="D63" s="211">
        <v>1</v>
      </c>
      <c r="E63" s="235">
        <f>+IF(D63="","",VLOOKUP(A63,$L$4:$O$10,3,FALSE))</f>
        <v>142350</v>
      </c>
      <c r="F63" s="236">
        <f>+IF(D63="","",(VLOOKUP(A63,$L$4:$O$10,4,FALSE))+1)</f>
        <v>1.5821008628015805</v>
      </c>
      <c r="G63" s="219">
        <f>+F63*E63*D63</f>
        <v>225212.05781980499</v>
      </c>
      <c r="H63" s="216">
        <v>130</v>
      </c>
      <c r="I63" s="228">
        <f>+ROUND(G63/H63,0)</f>
        <v>1732</v>
      </c>
      <c r="J63" s="213"/>
    </row>
    <row r="64" spans="1:12" ht="13.35" customHeight="1" x14ac:dyDescent="0.25">
      <c r="A64" s="444" t="s">
        <v>93</v>
      </c>
      <c r="B64" s="445"/>
      <c r="C64" s="446"/>
      <c r="D64" s="211">
        <v>1</v>
      </c>
      <c r="E64" s="235">
        <f>+IF(D64="","",VLOOKUP(A64,$L$4:$O$10,3,FALSE))</f>
        <v>77842</v>
      </c>
      <c r="F64" s="236">
        <f>+IF(D64="","",(VLOOKUP(A64,$L$4:$O$10,4,FALSE))+1)</f>
        <v>1.6752877632282406</v>
      </c>
      <c r="G64" s="219">
        <f t="shared" ref="G64:G65" si="4">+F64*E64*D64</f>
        <v>130407.75006521271</v>
      </c>
      <c r="H64" s="216">
        <f>+H63</f>
        <v>130</v>
      </c>
      <c r="I64" s="228">
        <f t="shared" ref="I64:I65" si="5">+ROUND(G64/H64,0)</f>
        <v>1003</v>
      </c>
      <c r="J64" s="213"/>
    </row>
    <row r="65" spans="1:12" ht="13.35" customHeight="1" x14ac:dyDescent="0.25">
      <c r="A65" s="444" t="s">
        <v>86</v>
      </c>
      <c r="B65" s="445"/>
      <c r="C65" s="446"/>
      <c r="D65" s="211">
        <v>1</v>
      </c>
      <c r="E65" s="235">
        <f>+IF(D65="","",VLOOKUP(A65,$L$4:$O$10,3,FALSE))</f>
        <v>54117</v>
      </c>
      <c r="F65" s="236">
        <f>+IF(D65="","",(VLOOKUP(A65,$L$4:$O$10,4,FALSE))+1)</f>
        <v>1.7246636834087141</v>
      </c>
      <c r="G65" s="219">
        <f t="shared" si="4"/>
        <v>93333.624555029382</v>
      </c>
      <c r="H65" s="216">
        <f>+H64</f>
        <v>130</v>
      </c>
      <c r="I65" s="228">
        <f t="shared" si="5"/>
        <v>718</v>
      </c>
      <c r="J65" s="213"/>
    </row>
    <row r="66" spans="1:12" x14ac:dyDescent="0.25">
      <c r="A66" s="444"/>
      <c r="B66" s="445"/>
      <c r="C66" s="446"/>
      <c r="D66" s="213"/>
      <c r="E66" s="213"/>
      <c r="F66" s="213"/>
      <c r="G66" s="213"/>
      <c r="H66" s="211"/>
      <c r="I66" s="217"/>
      <c r="J66" s="213"/>
    </row>
    <row r="67" spans="1:12" ht="14.45" customHeight="1" x14ac:dyDescent="0.25">
      <c r="A67" s="437" t="s">
        <v>100</v>
      </c>
      <c r="B67" s="438"/>
      <c r="C67" s="438"/>
      <c r="D67" s="438"/>
      <c r="E67" s="438"/>
      <c r="F67" s="438"/>
      <c r="G67" s="438"/>
      <c r="H67" s="438"/>
      <c r="I67" s="439"/>
      <c r="J67" s="217">
        <f>SUM(I63:I66)</f>
        <v>3453</v>
      </c>
    </row>
    <row r="68" spans="1:12" ht="13.35" customHeight="1" x14ac:dyDescent="0.25">
      <c r="A68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68" s="462"/>
      <c r="C68" s="462"/>
      <c r="D68" s="462"/>
      <c r="E68" s="462"/>
      <c r="F68" s="462"/>
      <c r="G68" s="462"/>
      <c r="H68" s="462"/>
      <c r="I68" s="462"/>
      <c r="J68" s="462"/>
    </row>
    <row r="69" spans="1:12" ht="36" customHeight="1" x14ac:dyDescent="0.25">
      <c r="A69" s="463"/>
      <c r="B69" s="463"/>
      <c r="C69" s="463"/>
      <c r="D69" s="463"/>
      <c r="E69" s="462"/>
      <c r="F69" s="462"/>
      <c r="G69" s="462"/>
      <c r="H69" s="462"/>
      <c r="I69" s="462"/>
      <c r="J69" s="462"/>
    </row>
    <row r="70" spans="1:12" ht="21.2" customHeight="1" x14ac:dyDescent="0.25">
      <c r="A70" s="196" t="s">
        <v>78</v>
      </c>
      <c r="B70" s="464" t="s">
        <v>79</v>
      </c>
      <c r="C70" s="464"/>
      <c r="D70" s="464"/>
      <c r="E70" s="464"/>
      <c r="F70" s="464"/>
      <c r="G70" s="464"/>
      <c r="H70" s="464"/>
      <c r="I70" s="197" t="s">
        <v>80</v>
      </c>
      <c r="J70" s="198" t="s">
        <v>81</v>
      </c>
    </row>
    <row r="71" spans="1:12" ht="47.45" customHeight="1" x14ac:dyDescent="0.25">
      <c r="A71" s="203">
        <v>2.0099999999999998</v>
      </c>
      <c r="B71" s="465" t="str">
        <f>+VLOOKUP(A71,[46]PTO!$B$4:$D$28,2,FALSE)</f>
        <v>EXCAVACIÓN DE MATERIAL HETEROGENEO DE 0-3 m., con material seco. Incluye: roca descompuesta, bolas de roca de volumen inferior a 0.35 m³., el cargue, transporte interno y externo, botada de material proveniente de las excavaciones en los sitios donde lo indique la interventoría y su medida será en el sitio. No incluye entibado.</v>
      </c>
      <c r="C71" s="466"/>
      <c r="D71" s="466"/>
      <c r="E71" s="466"/>
      <c r="F71" s="466"/>
      <c r="G71" s="466"/>
      <c r="H71" s="467"/>
      <c r="I71" s="204" t="str">
        <f>+VLOOKUP(A71,[46]PTO!$B$4:$D$28,3,FALSE)</f>
        <v>m3</v>
      </c>
      <c r="J71" s="205">
        <f>+ROUND(SUM(J79:J102),0)</f>
        <v>67164</v>
      </c>
      <c r="L71" s="232" t="e">
        <f>+VLOOKUP(A71,[46]PTO!$B$5:$E$385,5,FALSE)</f>
        <v>#REF!</v>
      </c>
    </row>
    <row r="72" spans="1:12" x14ac:dyDescent="0.25">
      <c r="A72" s="459" t="s">
        <v>87</v>
      </c>
      <c r="B72" s="459"/>
      <c r="C72" s="459"/>
      <c r="D72" s="459"/>
      <c r="E72" s="459"/>
      <c r="F72" s="459"/>
      <c r="G72" s="459"/>
      <c r="H72" s="459"/>
      <c r="I72" s="442"/>
      <c r="J72" s="442"/>
    </row>
    <row r="73" spans="1:12" x14ac:dyDescent="0.25">
      <c r="A73" s="460" t="s">
        <v>2</v>
      </c>
      <c r="B73" s="460"/>
      <c r="C73" s="460"/>
      <c r="D73" s="460"/>
      <c r="E73" s="460"/>
      <c r="F73" s="223" t="s">
        <v>89</v>
      </c>
      <c r="G73" s="234" t="s">
        <v>90</v>
      </c>
      <c r="H73" s="223" t="s">
        <v>91</v>
      </c>
      <c r="I73" s="223" t="s">
        <v>92</v>
      </c>
      <c r="J73" s="213"/>
    </row>
    <row r="74" spans="1:12" x14ac:dyDescent="0.25">
      <c r="A74" s="451" t="s">
        <v>95</v>
      </c>
      <c r="B74" s="451"/>
      <c r="C74" s="451"/>
      <c r="D74" s="451"/>
      <c r="E74" s="451"/>
      <c r="F74" s="214"/>
      <c r="G74" s="215">
        <v>0.05</v>
      </c>
      <c r="H74" s="216"/>
      <c r="I74" s="217">
        <f>+J101*G74</f>
        <v>186.37147956695293</v>
      </c>
      <c r="J74" s="213"/>
    </row>
    <row r="75" spans="1:12" x14ac:dyDescent="0.25">
      <c r="A75" s="461" t="s">
        <v>117</v>
      </c>
      <c r="B75" s="461"/>
      <c r="C75" s="461"/>
      <c r="D75" s="461"/>
      <c r="E75" s="461"/>
      <c r="F75" s="224" t="str">
        <f>+IF(A75="","",VLOOKUP(A75,[46]MATERIALES!$B$7:$D$1222,2,FALSE))</f>
        <v>DIA</v>
      </c>
      <c r="G75" s="225">
        <f>+IF(A75="","",VLOOKUP(A75,[46]MATERIALES!$B$7:$E$1222,3,FALSE))</f>
        <v>3500000</v>
      </c>
      <c r="H75" s="238">
        <f>IF(A75="","",IFERROR(1/H97,""))</f>
        <v>1.2500000000000001E-2</v>
      </c>
      <c r="I75" s="217">
        <f t="shared" ref="I75:I76" si="6">IFERROR(G75*H75,"")</f>
        <v>43750</v>
      </c>
      <c r="J75" s="213"/>
    </row>
    <row r="76" spans="1:12" x14ac:dyDescent="0.25">
      <c r="A76" s="451"/>
      <c r="B76" s="451"/>
      <c r="C76" s="451"/>
      <c r="D76" s="451"/>
      <c r="E76" s="451"/>
      <c r="F76" s="224" t="str">
        <f>+IF(A76="","",VLOOKUP(A76,[46]MATERIALES!$B$7:$D$1222,2,FALSE))</f>
        <v/>
      </c>
      <c r="G76" s="225" t="str">
        <f>+IF(A76="","",VLOOKUP(A76,[46]MATERIALES!$B$7:$E$1222,3,FALSE))</f>
        <v/>
      </c>
      <c r="H76" s="238" t="str">
        <f>IF(A76="","",IFERROR(1/H98,""))</f>
        <v/>
      </c>
      <c r="I76" s="217" t="str">
        <f t="shared" si="6"/>
        <v/>
      </c>
      <c r="J76" s="213"/>
    </row>
    <row r="77" spans="1:12" x14ac:dyDescent="0.25">
      <c r="A77" s="451"/>
      <c r="B77" s="451"/>
      <c r="C77" s="451"/>
      <c r="D77" s="451"/>
      <c r="E77" s="451"/>
      <c r="F77" s="214"/>
      <c r="G77" s="218"/>
      <c r="H77" s="238" t="str">
        <f>IF(A77="","",IFERROR(1/H97,""))</f>
        <v/>
      </c>
      <c r="I77" s="217"/>
      <c r="J77" s="213"/>
    </row>
    <row r="78" spans="1:12" x14ac:dyDescent="0.25">
      <c r="A78" s="451"/>
      <c r="B78" s="451"/>
      <c r="C78" s="451"/>
      <c r="D78" s="451"/>
      <c r="E78" s="451"/>
      <c r="F78" s="214"/>
      <c r="G78" s="218"/>
      <c r="H78" s="216"/>
      <c r="I78" s="217"/>
      <c r="J78" s="219"/>
    </row>
    <row r="79" spans="1:12" x14ac:dyDescent="0.25">
      <c r="A79" s="437" t="s">
        <v>100</v>
      </c>
      <c r="B79" s="438"/>
      <c r="C79" s="438"/>
      <c r="D79" s="438"/>
      <c r="E79" s="438"/>
      <c r="F79" s="438"/>
      <c r="G79" s="438"/>
      <c r="H79" s="438"/>
      <c r="I79" s="439"/>
      <c r="J79" s="217">
        <f>+SUM(I74:I78)</f>
        <v>43936.371479566951</v>
      </c>
    </row>
    <row r="80" spans="1:12" x14ac:dyDescent="0.25">
      <c r="A80" s="442" t="s">
        <v>101</v>
      </c>
      <c r="B80" s="442"/>
      <c r="C80" s="442"/>
      <c r="D80" s="442"/>
      <c r="E80" s="442"/>
      <c r="F80" s="442"/>
      <c r="G80" s="442"/>
      <c r="H80" s="442"/>
      <c r="I80" s="442"/>
      <c r="J80" s="442"/>
    </row>
    <row r="81" spans="1:10" x14ac:dyDescent="0.25">
      <c r="A81" s="452" t="s">
        <v>2</v>
      </c>
      <c r="B81" s="453"/>
      <c r="C81" s="453"/>
      <c r="D81" s="454"/>
      <c r="E81" s="223" t="s">
        <v>3</v>
      </c>
      <c r="F81" s="223" t="s">
        <v>102</v>
      </c>
      <c r="G81" s="223" t="s">
        <v>4</v>
      </c>
      <c r="H81" s="223" t="s">
        <v>103</v>
      </c>
      <c r="I81" s="223" t="s">
        <v>92</v>
      </c>
      <c r="J81" s="213"/>
    </row>
    <row r="82" spans="1:10" x14ac:dyDescent="0.25">
      <c r="A82" s="444"/>
      <c r="B82" s="445"/>
      <c r="C82" s="445"/>
      <c r="D82" s="445"/>
      <c r="E82" s="224" t="str">
        <f>+IF(A82="","",VLOOKUP(A82,[46]MATERIALES!$B$7:$D$225,2,FALSE))</f>
        <v/>
      </c>
      <c r="F82" s="225" t="str">
        <f>+IF(A82="","",VLOOKUP(A82,[46]MATERIALES!$B$7:$E$225,3,FALSE))</f>
        <v/>
      </c>
      <c r="G82" s="226"/>
      <c r="H82" s="227"/>
      <c r="I82" s="228" t="str">
        <f t="shared" ref="I82:I84" si="7">IFERROR((ROUND((F82*G82*(1+H82)),0)),"")</f>
        <v/>
      </c>
      <c r="J82" s="213"/>
    </row>
    <row r="83" spans="1:10" x14ac:dyDescent="0.25">
      <c r="A83" s="444"/>
      <c r="B83" s="445"/>
      <c r="C83" s="445"/>
      <c r="D83" s="445"/>
      <c r="E83" s="224" t="str">
        <f>+IF(A83="","",VLOOKUP(A83,[46]MATERIALES!$B$7:$D$225,2,FALSE))</f>
        <v/>
      </c>
      <c r="F83" s="225" t="str">
        <f>+IF(A83="","",VLOOKUP(A83,[46]MATERIALES!$B$7:$E$225,3,FALSE))</f>
        <v/>
      </c>
      <c r="G83" s="238"/>
      <c r="H83" s="227"/>
      <c r="I83" s="228" t="str">
        <f t="shared" si="7"/>
        <v/>
      </c>
      <c r="J83" s="213"/>
    </row>
    <row r="84" spans="1:10" x14ac:dyDescent="0.25">
      <c r="A84" s="444"/>
      <c r="B84" s="445"/>
      <c r="C84" s="445"/>
      <c r="D84" s="445"/>
      <c r="E84" s="224" t="str">
        <f>+IF(A84="","",VLOOKUP(A84,[46]MATERIALES!$B$7:$D$225,2,FALSE))</f>
        <v/>
      </c>
      <c r="F84" s="225" t="str">
        <f>+IF(A84="","",VLOOKUP(A84,[46]MATERIALES!$B$7:$E$225,3,FALSE))</f>
        <v/>
      </c>
      <c r="G84" s="226"/>
      <c r="H84" s="227"/>
      <c r="I84" s="228" t="str">
        <f t="shared" si="7"/>
        <v/>
      </c>
      <c r="J84" s="213"/>
    </row>
    <row r="85" spans="1:10" x14ac:dyDescent="0.25">
      <c r="A85" s="444"/>
      <c r="B85" s="445"/>
      <c r="C85" s="445"/>
      <c r="D85" s="445"/>
      <c r="E85" s="224" t="str">
        <f>+IF(A85="","",VLOOKUP(A85,[46]MATERIALES!$B$7:$D$225,2,FALSE))</f>
        <v/>
      </c>
      <c r="F85" s="225" t="str">
        <f>+IF(A85="","",VLOOKUP(A85,[46]MATERIALES!$B$7:$E$225,3,FALSE))</f>
        <v/>
      </c>
      <c r="G85" s="226"/>
      <c r="H85" s="227"/>
      <c r="I85" s="217" t="str">
        <f t="shared" ref="I85" si="8">IFERROR(F85*G85*(1+H85),"")</f>
        <v/>
      </c>
      <c r="J85" s="213"/>
    </row>
    <row r="86" spans="1:10" x14ac:dyDescent="0.25">
      <c r="A86" s="444"/>
      <c r="B86" s="445"/>
      <c r="C86" s="445"/>
      <c r="D86" s="445"/>
      <c r="E86" s="224" t="str">
        <f>+IF(A86="","",VLOOKUP(A86,[46]MATERIALES!$B$7:$D$225,2,FALSE))</f>
        <v/>
      </c>
      <c r="F86" s="225" t="str">
        <f>+IF(A86="","",VLOOKUP(A86,[46]MATERIALES!$B$7:$E$225,3,FALSE))</f>
        <v/>
      </c>
      <c r="G86" s="226"/>
      <c r="H86" s="227"/>
      <c r="I86" s="217" t="str">
        <f>IFERROR(F86*G86*(1+H86),"")</f>
        <v/>
      </c>
      <c r="J86" s="213"/>
    </row>
    <row r="87" spans="1:10" x14ac:dyDescent="0.25">
      <c r="A87" s="437" t="s">
        <v>100</v>
      </c>
      <c r="B87" s="438"/>
      <c r="C87" s="438"/>
      <c r="D87" s="438"/>
      <c r="E87" s="438"/>
      <c r="F87" s="438"/>
      <c r="G87" s="438"/>
      <c r="H87" s="438"/>
      <c r="I87" s="439"/>
      <c r="J87" s="217">
        <f>SUM(I82:I86)</f>
        <v>0</v>
      </c>
    </row>
    <row r="88" spans="1:10" x14ac:dyDescent="0.25">
      <c r="A88" s="442" t="s">
        <v>106</v>
      </c>
      <c r="B88" s="442"/>
      <c r="C88" s="442"/>
      <c r="D88" s="442"/>
      <c r="E88" s="442"/>
      <c r="F88" s="442"/>
      <c r="G88" s="442"/>
      <c r="H88" s="442"/>
      <c r="I88" s="442"/>
      <c r="J88" s="442"/>
    </row>
    <row r="89" spans="1:10" ht="22.5" x14ac:dyDescent="0.25">
      <c r="A89" s="443" t="s">
        <v>107</v>
      </c>
      <c r="B89" s="443"/>
      <c r="C89" s="443"/>
      <c r="D89" s="443"/>
      <c r="E89" s="223" t="s">
        <v>108</v>
      </c>
      <c r="F89" s="230" t="s">
        <v>109</v>
      </c>
      <c r="G89" s="223" t="s">
        <v>110</v>
      </c>
      <c r="H89" s="223" t="s">
        <v>111</v>
      </c>
      <c r="I89" s="223" t="s">
        <v>92</v>
      </c>
      <c r="J89" s="213"/>
    </row>
    <row r="90" spans="1:10" ht="23.45" customHeight="1" x14ac:dyDescent="0.25">
      <c r="A90" s="447" t="s">
        <v>118</v>
      </c>
      <c r="B90" s="447"/>
      <c r="C90" s="447"/>
      <c r="D90" s="447"/>
      <c r="E90" s="216" t="str">
        <f>+IF(A90="","",VLOOKUP(A90,[46]MATERIALES!$B$7:$E$1222,2,FALSE))</f>
        <v>M3</v>
      </c>
      <c r="F90" s="224">
        <v>1.3</v>
      </c>
      <c r="G90" s="231">
        <f>+IF(A90="","",VLOOKUP(A90,[46]MATERIALES!$B$7:$E$1222,4,FALSE))</f>
        <v>5</v>
      </c>
      <c r="H90" s="216">
        <f>+IF(A90="","",VLOOKUP(A90,[46]MATERIALES!$B$7:$E$1222,3,FALSE))</f>
        <v>3000</v>
      </c>
      <c r="I90" s="217">
        <f>IFERROR(G90*H90*F90,"")</f>
        <v>19500</v>
      </c>
      <c r="J90" s="213"/>
    </row>
    <row r="91" spans="1:10" x14ac:dyDescent="0.25">
      <c r="A91" s="447"/>
      <c r="B91" s="447"/>
      <c r="C91" s="447"/>
      <c r="D91" s="447"/>
      <c r="E91" s="216" t="str">
        <f>+IF(A91="","",VLOOKUP(A91,[46]MATERIALES!$B$7:$E$1222,2,FALSE))</f>
        <v/>
      </c>
      <c r="F91" s="224"/>
      <c r="G91" s="231" t="str">
        <f>+IF(A91="","",VLOOKUP(A91,[46]MATERIALES!$B$7:$E$1222,4,FALSE))</f>
        <v/>
      </c>
      <c r="H91" s="216" t="str">
        <f>+IF(A91="","",VLOOKUP(A91,[46]MATERIALES!$B$7:$E$1222,3,FALSE))</f>
        <v/>
      </c>
      <c r="I91" s="217" t="str">
        <f>IFERROR(G91*H91*F91,"")</f>
        <v/>
      </c>
      <c r="J91" s="213"/>
    </row>
    <row r="92" spans="1:10" x14ac:dyDescent="0.25">
      <c r="A92" s="447"/>
      <c r="B92" s="447"/>
      <c r="C92" s="447"/>
      <c r="D92" s="447"/>
      <c r="E92" s="213"/>
      <c r="F92" s="214"/>
      <c r="G92" s="233"/>
      <c r="H92" s="216"/>
      <c r="I92" s="219"/>
      <c r="J92" s="213"/>
    </row>
    <row r="93" spans="1:10" x14ac:dyDescent="0.25">
      <c r="A93" s="447"/>
      <c r="B93" s="447"/>
      <c r="C93" s="447"/>
      <c r="D93" s="447"/>
      <c r="E93" s="213"/>
      <c r="F93" s="213"/>
      <c r="G93" s="213"/>
      <c r="H93" s="211"/>
      <c r="I93" s="213"/>
      <c r="J93" s="213"/>
    </row>
    <row r="94" spans="1:10" x14ac:dyDescent="0.25">
      <c r="A94" s="437" t="s">
        <v>100</v>
      </c>
      <c r="B94" s="438"/>
      <c r="C94" s="438"/>
      <c r="D94" s="438"/>
      <c r="E94" s="438"/>
      <c r="F94" s="438"/>
      <c r="G94" s="438"/>
      <c r="H94" s="438"/>
      <c r="I94" s="439"/>
      <c r="J94" s="217">
        <f>SUM(I90:I93)</f>
        <v>19500</v>
      </c>
    </row>
    <row r="95" spans="1:10" x14ac:dyDescent="0.25">
      <c r="A95" s="442" t="s">
        <v>112</v>
      </c>
      <c r="B95" s="442"/>
      <c r="C95" s="442"/>
      <c r="D95" s="442"/>
      <c r="E95" s="442"/>
      <c r="F95" s="442"/>
      <c r="G95" s="442"/>
      <c r="H95" s="442"/>
      <c r="I95" s="442"/>
      <c r="J95" s="442"/>
    </row>
    <row r="96" spans="1:10" x14ac:dyDescent="0.25">
      <c r="A96" s="443" t="s">
        <v>113</v>
      </c>
      <c r="B96" s="443"/>
      <c r="C96" s="443"/>
      <c r="D96" s="443"/>
      <c r="E96" s="223" t="s">
        <v>114</v>
      </c>
      <c r="F96" s="223" t="s">
        <v>115</v>
      </c>
      <c r="G96" s="234" t="s">
        <v>116</v>
      </c>
      <c r="H96" s="223" t="s">
        <v>91</v>
      </c>
      <c r="I96" s="223" t="s">
        <v>92</v>
      </c>
      <c r="J96" s="213"/>
    </row>
    <row r="97" spans="1:12" x14ac:dyDescent="0.25">
      <c r="A97" s="444" t="s">
        <v>97</v>
      </c>
      <c r="B97" s="445"/>
      <c r="C97" s="446"/>
      <c r="D97" s="211">
        <v>1</v>
      </c>
      <c r="E97" s="235">
        <f>+IF(D97="","",VLOOKUP(A97,$L$4:$O$10,3,FALSE))</f>
        <v>101567</v>
      </c>
      <c r="F97" s="236">
        <f>+IF(D97="","",(VLOOKUP(A97,$L$4:$O$10,4,FALSE))+1)</f>
        <v>1.6519796512835072</v>
      </c>
      <c r="G97" s="219">
        <f>+IFERROR(F97*E97*D97,"")</f>
        <v>167786.61724191197</v>
      </c>
      <c r="H97" s="216">
        <v>80</v>
      </c>
      <c r="I97" s="217">
        <f>IFERROR(G97/H97,"")</f>
        <v>2097.3327155238994</v>
      </c>
      <c r="J97" s="213"/>
    </row>
    <row r="98" spans="1:12" ht="13.35" customHeight="1" x14ac:dyDescent="0.25">
      <c r="A98" s="444" t="s">
        <v>93</v>
      </c>
      <c r="B98" s="445"/>
      <c r="C98" s="446"/>
      <c r="D98" s="211">
        <v>1</v>
      </c>
      <c r="E98" s="235">
        <f>+IF(D98="","",VLOOKUP(A98,$L$4:$O$10,3,FALSE))</f>
        <v>77842</v>
      </c>
      <c r="F98" s="236">
        <f>+IF(D98="","",(VLOOKUP(A98,$L$4:$O$10,4,FALSE))+1)</f>
        <v>1.6752877632282406</v>
      </c>
      <c r="G98" s="219">
        <f>+IFERROR(F98*E98*D98,"")</f>
        <v>130407.75006521271</v>
      </c>
      <c r="H98" s="216">
        <f>+H97</f>
        <v>80</v>
      </c>
      <c r="I98" s="217">
        <f t="shared" ref="I98:I99" si="9">IFERROR(G98/H98,"")</f>
        <v>1630.0968758151589</v>
      </c>
      <c r="J98" s="213"/>
    </row>
    <row r="99" spans="1:12" ht="13.35" customHeight="1" x14ac:dyDescent="0.25">
      <c r="A99" s="444"/>
      <c r="B99" s="445"/>
      <c r="C99" s="446"/>
      <c r="D99" s="211"/>
      <c r="E99" s="235" t="str">
        <f>+IF(D99="","",VLOOKUP(A99,$L$4:$O$10,3,FALSE))</f>
        <v/>
      </c>
      <c r="F99" s="236" t="str">
        <f>+IF(D99="","",(VLOOKUP(A99,$L$4:$O$10,4,FALSE))+1)</f>
        <v/>
      </c>
      <c r="G99" s="219" t="str">
        <f>+IFERROR(F99*E99*D99,"")</f>
        <v/>
      </c>
      <c r="H99" s="216"/>
      <c r="I99" s="217" t="str">
        <f t="shared" si="9"/>
        <v/>
      </c>
      <c r="J99" s="213"/>
    </row>
    <row r="100" spans="1:12" x14ac:dyDescent="0.25">
      <c r="A100" s="444"/>
      <c r="B100" s="445"/>
      <c r="C100" s="446"/>
      <c r="D100" s="213"/>
      <c r="E100" s="213"/>
      <c r="F100" s="213"/>
      <c r="G100" s="213"/>
      <c r="H100" s="211"/>
      <c r="I100" s="217"/>
      <c r="J100" s="213"/>
    </row>
    <row r="101" spans="1:12" ht="14.45" customHeight="1" x14ac:dyDescent="0.25">
      <c r="A101" s="437" t="s">
        <v>100</v>
      </c>
      <c r="B101" s="438"/>
      <c r="C101" s="438"/>
      <c r="D101" s="438"/>
      <c r="E101" s="438"/>
      <c r="F101" s="438"/>
      <c r="G101" s="438"/>
      <c r="H101" s="438"/>
      <c r="I101" s="439"/>
      <c r="J101" s="217">
        <f>SUM(I97:I100)</f>
        <v>3727.4295913390583</v>
      </c>
    </row>
    <row r="102" spans="1:12" ht="13.35" customHeight="1" x14ac:dyDescent="0.25">
      <c r="A102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102" s="462"/>
      <c r="C102" s="462"/>
      <c r="D102" s="462"/>
      <c r="E102" s="462"/>
      <c r="F102" s="462"/>
      <c r="G102" s="462"/>
      <c r="H102" s="462"/>
      <c r="I102" s="462"/>
      <c r="J102" s="462"/>
    </row>
    <row r="103" spans="1:12" ht="35.450000000000003" customHeight="1" x14ac:dyDescent="0.25">
      <c r="A103" s="463"/>
      <c r="B103" s="463"/>
      <c r="C103" s="463"/>
      <c r="D103" s="463"/>
      <c r="E103" s="462"/>
      <c r="F103" s="462"/>
      <c r="G103" s="462"/>
      <c r="H103" s="462"/>
      <c r="I103" s="462"/>
      <c r="J103" s="462"/>
    </row>
    <row r="104" spans="1:12" ht="20.45" customHeight="1" x14ac:dyDescent="0.25">
      <c r="A104" s="196" t="s">
        <v>78</v>
      </c>
      <c r="B104" s="464" t="s">
        <v>79</v>
      </c>
      <c r="C104" s="464"/>
      <c r="D104" s="464"/>
      <c r="E104" s="464"/>
      <c r="F104" s="464"/>
      <c r="G104" s="464"/>
      <c r="H104" s="464"/>
      <c r="I104" s="197" t="s">
        <v>80</v>
      </c>
      <c r="J104" s="198" t="s">
        <v>81</v>
      </c>
    </row>
    <row r="105" spans="1:12" ht="33.6" customHeight="1" x14ac:dyDescent="0.25">
      <c r="A105" s="203">
        <v>2.02</v>
      </c>
      <c r="B105" s="465" t="str">
        <f>+VLOOKUP(A105,[46]PTO!$B$4:$D$28,2,FALSE)</f>
        <v>LLENO CON MATERIAL SELECCIONADO, compactado mecánicamente hasta obtener una densidad optima. Incluye transporte del material. Su medida será en sitio ya compactado.</v>
      </c>
      <c r="C105" s="466"/>
      <c r="D105" s="466"/>
      <c r="E105" s="466"/>
      <c r="F105" s="466"/>
      <c r="G105" s="466"/>
      <c r="H105" s="467"/>
      <c r="I105" s="204" t="str">
        <f>+VLOOKUP(A105,[46]PTO!$B$4:$D$28,3,FALSE)</f>
        <v>m3</v>
      </c>
      <c r="J105" s="205">
        <f>+ROUND(SUM(J113:J136),0)</f>
        <v>91451</v>
      </c>
      <c r="L105" s="232" t="e">
        <f>+VLOOKUP(A105,[46]PTO!$B$5:$E$385,5,FALSE)</f>
        <v>#REF!</v>
      </c>
    </row>
    <row r="106" spans="1:12" x14ac:dyDescent="0.25">
      <c r="A106" s="459" t="s">
        <v>87</v>
      </c>
      <c r="B106" s="459"/>
      <c r="C106" s="459"/>
      <c r="D106" s="459"/>
      <c r="E106" s="459"/>
      <c r="F106" s="459"/>
      <c r="G106" s="459"/>
      <c r="H106" s="459"/>
      <c r="I106" s="442"/>
      <c r="J106" s="442"/>
    </row>
    <row r="107" spans="1:12" x14ac:dyDescent="0.25">
      <c r="A107" s="460" t="s">
        <v>2</v>
      </c>
      <c r="B107" s="460"/>
      <c r="C107" s="460"/>
      <c r="D107" s="460"/>
      <c r="E107" s="460"/>
      <c r="F107" s="223" t="s">
        <v>89</v>
      </c>
      <c r="G107" s="234" t="s">
        <v>90</v>
      </c>
      <c r="H107" s="223" t="s">
        <v>91</v>
      </c>
      <c r="I107" s="223" t="s">
        <v>92</v>
      </c>
      <c r="J107" s="213"/>
    </row>
    <row r="108" spans="1:12" x14ac:dyDescent="0.25">
      <c r="A108" s="451" t="s">
        <v>95</v>
      </c>
      <c r="B108" s="451"/>
      <c r="C108" s="451"/>
      <c r="D108" s="451"/>
      <c r="E108" s="451"/>
      <c r="F108" s="214"/>
      <c r="G108" s="215">
        <v>0.05</v>
      </c>
      <c r="H108" s="216"/>
      <c r="I108" s="217">
        <f>+J135*G108</f>
        <v>108.80010074872558</v>
      </c>
      <c r="J108" s="213"/>
    </row>
    <row r="109" spans="1:12" x14ac:dyDescent="0.25">
      <c r="A109" s="461" t="s">
        <v>117</v>
      </c>
      <c r="B109" s="461"/>
      <c r="C109" s="461"/>
      <c r="D109" s="461"/>
      <c r="E109" s="461"/>
      <c r="F109" s="224" t="str">
        <f>+IF(A109="","",VLOOKUP(A109,[46]MATERIALES!$B$7:$D$1222,2,FALSE))</f>
        <v>DIA</v>
      </c>
      <c r="G109" s="225">
        <f>+IF(A109="","",VLOOKUP(A109,[46]MATERIALES!$B$7:$E$1222,3,FALSE))</f>
        <v>3500000</v>
      </c>
      <c r="H109" s="238">
        <f>IF(A109="","",IFERROR(1/H131,""))</f>
        <v>8.3333333333333332E-3</v>
      </c>
      <c r="I109" s="217">
        <f t="shared" ref="I109:I110" si="10">IFERROR(G109*H109,"")</f>
        <v>29166.666666666668</v>
      </c>
      <c r="J109" s="213"/>
    </row>
    <row r="110" spans="1:12" x14ac:dyDescent="0.25">
      <c r="A110" s="451"/>
      <c r="B110" s="451"/>
      <c r="C110" s="451"/>
      <c r="D110" s="451"/>
      <c r="E110" s="451"/>
      <c r="F110" s="224" t="str">
        <f>+IF(A110="","",VLOOKUP(A110,[46]MATERIALES!$B$7:$D$1222,2,FALSE))</f>
        <v/>
      </c>
      <c r="G110" s="225" t="str">
        <f>+IF(A110="","",VLOOKUP(A110,[46]MATERIALES!$B$7:$E$1222,3,FALSE))</f>
        <v/>
      </c>
      <c r="H110" s="238" t="str">
        <f>IF(A110="","",IFERROR(1/H132,""))</f>
        <v/>
      </c>
      <c r="I110" s="217" t="str">
        <f t="shared" si="10"/>
        <v/>
      </c>
      <c r="J110" s="213"/>
    </row>
    <row r="111" spans="1:12" x14ac:dyDescent="0.25">
      <c r="A111" s="451"/>
      <c r="B111" s="451"/>
      <c r="C111" s="451"/>
      <c r="D111" s="451"/>
      <c r="E111" s="451"/>
      <c r="F111" s="214"/>
      <c r="G111" s="218"/>
      <c r="H111" s="238" t="str">
        <f>IF(A111="","",IFERROR(1/H131,""))</f>
        <v/>
      </c>
      <c r="I111" s="217"/>
      <c r="J111" s="213"/>
    </row>
    <row r="112" spans="1:12" x14ac:dyDescent="0.25">
      <c r="A112" s="451"/>
      <c r="B112" s="451"/>
      <c r="C112" s="451"/>
      <c r="D112" s="451"/>
      <c r="E112" s="451"/>
      <c r="F112" s="214"/>
      <c r="G112" s="218"/>
      <c r="H112" s="216"/>
      <c r="I112" s="217"/>
      <c r="J112" s="219"/>
    </row>
    <row r="113" spans="1:10" x14ac:dyDescent="0.25">
      <c r="A113" s="437" t="s">
        <v>100</v>
      </c>
      <c r="B113" s="438"/>
      <c r="C113" s="438"/>
      <c r="D113" s="438"/>
      <c r="E113" s="438"/>
      <c r="F113" s="438"/>
      <c r="G113" s="438"/>
      <c r="H113" s="438"/>
      <c r="I113" s="439"/>
      <c r="J113" s="217">
        <f>+SUM(I108:I112)</f>
        <v>29275.466767415393</v>
      </c>
    </row>
    <row r="114" spans="1:10" x14ac:dyDescent="0.25">
      <c r="A114" s="442" t="s">
        <v>101</v>
      </c>
      <c r="B114" s="442"/>
      <c r="C114" s="442"/>
      <c r="D114" s="442"/>
      <c r="E114" s="442"/>
      <c r="F114" s="442"/>
      <c r="G114" s="442"/>
      <c r="H114" s="442"/>
      <c r="I114" s="442"/>
      <c r="J114" s="442"/>
    </row>
    <row r="115" spans="1:10" x14ac:dyDescent="0.25">
      <c r="A115" s="452" t="s">
        <v>2</v>
      </c>
      <c r="B115" s="453"/>
      <c r="C115" s="453"/>
      <c r="D115" s="454"/>
      <c r="E115" s="223" t="s">
        <v>3</v>
      </c>
      <c r="F115" s="223" t="s">
        <v>102</v>
      </c>
      <c r="G115" s="223" t="s">
        <v>4</v>
      </c>
      <c r="H115" s="223" t="s">
        <v>103</v>
      </c>
      <c r="I115" s="223" t="s">
        <v>92</v>
      </c>
      <c r="J115" s="213"/>
    </row>
    <row r="116" spans="1:10" x14ac:dyDescent="0.25">
      <c r="A116" s="444" t="s">
        <v>119</v>
      </c>
      <c r="B116" s="445"/>
      <c r="C116" s="445"/>
      <c r="D116" s="445"/>
      <c r="E116" s="224" t="str">
        <f>+IF(A116="","",VLOOKUP(A116,[46]MATERIALES!$B$7:$D$225,2,FALSE))</f>
        <v>m3</v>
      </c>
      <c r="F116" s="225">
        <f>+IF(A116="","",VLOOKUP(A116,[46]MATERIALES!$B$7:$E$225,3,FALSE))</f>
        <v>60000</v>
      </c>
      <c r="G116" s="226">
        <v>1</v>
      </c>
      <c r="H116" s="227"/>
      <c r="I116" s="228">
        <f t="shared" ref="I116:I118" si="11">IFERROR((ROUND((F116*G116*(1+H116)),0)),"")</f>
        <v>60000</v>
      </c>
      <c r="J116" s="213"/>
    </row>
    <row r="117" spans="1:10" x14ac:dyDescent="0.25">
      <c r="A117" s="444"/>
      <c r="B117" s="445"/>
      <c r="C117" s="445"/>
      <c r="D117" s="445"/>
      <c r="E117" s="224" t="str">
        <f>+IF(A117="","",VLOOKUP(A117,[46]MATERIALES!$B$7:$D$225,2,FALSE))</f>
        <v/>
      </c>
      <c r="F117" s="225" t="str">
        <f>+IF(A117="","",VLOOKUP(A117,[46]MATERIALES!$B$7:$E$225,3,FALSE))</f>
        <v/>
      </c>
      <c r="G117" s="238"/>
      <c r="H117" s="227"/>
      <c r="I117" s="228" t="str">
        <f t="shared" si="11"/>
        <v/>
      </c>
      <c r="J117" s="213"/>
    </row>
    <row r="118" spans="1:10" x14ac:dyDescent="0.25">
      <c r="A118" s="444"/>
      <c r="B118" s="445"/>
      <c r="C118" s="445"/>
      <c r="D118" s="445"/>
      <c r="E118" s="224" t="str">
        <f>+IF(A118="","",VLOOKUP(A118,[46]MATERIALES!$B$7:$D$225,2,FALSE))</f>
        <v/>
      </c>
      <c r="F118" s="225" t="str">
        <f>+IF(A118="","",VLOOKUP(A118,[46]MATERIALES!$B$7:$E$225,3,FALSE))</f>
        <v/>
      </c>
      <c r="G118" s="226"/>
      <c r="H118" s="227"/>
      <c r="I118" s="228" t="str">
        <f t="shared" si="11"/>
        <v/>
      </c>
      <c r="J118" s="213"/>
    </row>
    <row r="119" spans="1:10" x14ac:dyDescent="0.25">
      <c r="A119" s="444"/>
      <c r="B119" s="445"/>
      <c r="C119" s="445"/>
      <c r="D119" s="445"/>
      <c r="E119" s="224" t="str">
        <f>+IF(A119="","",VLOOKUP(A119,[46]MATERIALES!$B$7:$D$225,2,FALSE))</f>
        <v/>
      </c>
      <c r="F119" s="225" t="str">
        <f>+IF(A119="","",VLOOKUP(A119,[46]MATERIALES!$B$7:$E$225,3,FALSE))</f>
        <v/>
      </c>
      <c r="G119" s="226"/>
      <c r="H119" s="227"/>
      <c r="I119" s="217" t="str">
        <f t="shared" ref="I119" si="12">IFERROR(F119*G119*(1+H119),"")</f>
        <v/>
      </c>
      <c r="J119" s="213"/>
    </row>
    <row r="120" spans="1:10" x14ac:dyDescent="0.25">
      <c r="A120" s="444"/>
      <c r="B120" s="445"/>
      <c r="C120" s="445"/>
      <c r="D120" s="445"/>
      <c r="E120" s="224" t="str">
        <f>+IF(A120="","",VLOOKUP(A120,[46]MATERIALES!$B$7:$D$225,2,FALSE))</f>
        <v/>
      </c>
      <c r="F120" s="225" t="str">
        <f>+IF(A120="","",VLOOKUP(A120,[46]MATERIALES!$B$7:$E$225,3,FALSE))</f>
        <v/>
      </c>
      <c r="G120" s="226"/>
      <c r="H120" s="227"/>
      <c r="I120" s="217" t="str">
        <f>IFERROR(F120*G120*(1+H120),"")</f>
        <v/>
      </c>
      <c r="J120" s="213"/>
    </row>
    <row r="121" spans="1:10" x14ac:dyDescent="0.25">
      <c r="A121" s="437" t="s">
        <v>100</v>
      </c>
      <c r="B121" s="438"/>
      <c r="C121" s="438"/>
      <c r="D121" s="438"/>
      <c r="E121" s="438"/>
      <c r="F121" s="438"/>
      <c r="G121" s="438"/>
      <c r="H121" s="438"/>
      <c r="I121" s="439"/>
      <c r="J121" s="217">
        <f>SUM(I116:I120)</f>
        <v>60000</v>
      </c>
    </row>
    <row r="122" spans="1:10" x14ac:dyDescent="0.25">
      <c r="A122" s="442" t="s">
        <v>106</v>
      </c>
      <c r="B122" s="442"/>
      <c r="C122" s="442"/>
      <c r="D122" s="442"/>
      <c r="E122" s="442"/>
      <c r="F122" s="442"/>
      <c r="G122" s="442"/>
      <c r="H122" s="442"/>
      <c r="I122" s="442"/>
      <c r="J122" s="442"/>
    </row>
    <row r="123" spans="1:10" ht="22.5" x14ac:dyDescent="0.25">
      <c r="A123" s="443" t="s">
        <v>107</v>
      </c>
      <c r="B123" s="443"/>
      <c r="C123" s="443"/>
      <c r="D123" s="443"/>
      <c r="E123" s="223" t="s">
        <v>108</v>
      </c>
      <c r="F123" s="230" t="s">
        <v>109</v>
      </c>
      <c r="G123" s="223" t="s">
        <v>110</v>
      </c>
      <c r="H123" s="223" t="s">
        <v>111</v>
      </c>
      <c r="I123" s="223" t="s">
        <v>92</v>
      </c>
      <c r="J123" s="213"/>
    </row>
    <row r="124" spans="1:10" ht="20.45" customHeight="1" x14ac:dyDescent="0.25">
      <c r="A124" s="447"/>
      <c r="B124" s="447"/>
      <c r="C124" s="447"/>
      <c r="D124" s="447"/>
      <c r="E124" s="216" t="str">
        <f>+IF(A124="","",VLOOKUP(A124,[46]MATERIALES!$B$7:$E$1222,2,FALSE))</f>
        <v/>
      </c>
      <c r="F124" s="224"/>
      <c r="G124" s="231" t="str">
        <f>+IF(A124="","",VLOOKUP(A124,[46]MATERIALES!$B$7:$E$1222,4,FALSE))</f>
        <v/>
      </c>
      <c r="H124" s="216" t="str">
        <f>+IF(A124="","",VLOOKUP(A124,[46]MATERIALES!$B$7:$E$1222,3,FALSE))</f>
        <v/>
      </c>
      <c r="I124" s="217" t="str">
        <f>IFERROR(G124*H124*F124,"")</f>
        <v/>
      </c>
      <c r="J124" s="213"/>
    </row>
    <row r="125" spans="1:10" x14ac:dyDescent="0.25">
      <c r="A125" s="447"/>
      <c r="B125" s="447"/>
      <c r="C125" s="447"/>
      <c r="D125" s="447"/>
      <c r="E125" s="216" t="str">
        <f>+IF(A125="","",VLOOKUP(A125,[46]MATERIALES!$B$7:$E$1222,2,FALSE))</f>
        <v/>
      </c>
      <c r="F125" s="224"/>
      <c r="G125" s="231" t="str">
        <f>+IF(A125="","",VLOOKUP(A125,[46]MATERIALES!$B$7:$E$1222,4,FALSE))</f>
        <v/>
      </c>
      <c r="H125" s="216" t="str">
        <f>+IF(A125="","",VLOOKUP(A125,[46]MATERIALES!$B$7:$E$1222,3,FALSE))</f>
        <v/>
      </c>
      <c r="I125" s="217" t="str">
        <f>IFERROR(G125*H125*F125,"")</f>
        <v/>
      </c>
      <c r="J125" s="213"/>
    </row>
    <row r="126" spans="1:10" x14ac:dyDescent="0.25">
      <c r="A126" s="447"/>
      <c r="B126" s="447"/>
      <c r="C126" s="447"/>
      <c r="D126" s="447"/>
      <c r="E126" s="213"/>
      <c r="F126" s="214"/>
      <c r="G126" s="233"/>
      <c r="H126" s="216"/>
      <c r="I126" s="219"/>
      <c r="J126" s="213"/>
    </row>
    <row r="127" spans="1:10" x14ac:dyDescent="0.25">
      <c r="A127" s="447"/>
      <c r="B127" s="447"/>
      <c r="C127" s="447"/>
      <c r="D127" s="447"/>
      <c r="E127" s="213"/>
      <c r="F127" s="213"/>
      <c r="G127" s="213"/>
      <c r="H127" s="211"/>
      <c r="I127" s="213"/>
      <c r="J127" s="213"/>
    </row>
    <row r="128" spans="1:10" x14ac:dyDescent="0.25">
      <c r="A128" s="437" t="s">
        <v>100</v>
      </c>
      <c r="B128" s="438"/>
      <c r="C128" s="438"/>
      <c r="D128" s="438"/>
      <c r="E128" s="438"/>
      <c r="F128" s="438"/>
      <c r="G128" s="438"/>
      <c r="H128" s="438"/>
      <c r="I128" s="439"/>
      <c r="J128" s="217">
        <f>SUM(I124:I127)</f>
        <v>0</v>
      </c>
    </row>
    <row r="129" spans="1:12" x14ac:dyDescent="0.25">
      <c r="A129" s="442" t="s">
        <v>112</v>
      </c>
      <c r="B129" s="442"/>
      <c r="C129" s="442"/>
      <c r="D129" s="442"/>
      <c r="E129" s="442"/>
      <c r="F129" s="442"/>
      <c r="G129" s="442"/>
      <c r="H129" s="442"/>
      <c r="I129" s="442"/>
      <c r="J129" s="442"/>
    </row>
    <row r="130" spans="1:12" x14ac:dyDescent="0.25">
      <c r="A130" s="443" t="s">
        <v>113</v>
      </c>
      <c r="B130" s="443"/>
      <c r="C130" s="443"/>
      <c r="D130" s="443"/>
      <c r="E130" s="223" t="s">
        <v>114</v>
      </c>
      <c r="F130" s="223" t="s">
        <v>115</v>
      </c>
      <c r="G130" s="234" t="s">
        <v>116</v>
      </c>
      <c r="H130" s="223" t="s">
        <v>91</v>
      </c>
      <c r="I130" s="223" t="s">
        <v>92</v>
      </c>
      <c r="J130" s="213"/>
    </row>
    <row r="131" spans="1:12" x14ac:dyDescent="0.25">
      <c r="A131" s="444" t="s">
        <v>97</v>
      </c>
      <c r="B131" s="445"/>
      <c r="C131" s="446"/>
      <c r="D131" s="211">
        <v>1</v>
      </c>
      <c r="E131" s="235">
        <f>+IF(D131="","",VLOOKUP(A131,$L$4:$O$10,3,FALSE))</f>
        <v>101567</v>
      </c>
      <c r="F131" s="236">
        <f>+IF(D131="","",(VLOOKUP(A131,$L$4:$O$10,4,FALSE))+1)</f>
        <v>1.6519796512835072</v>
      </c>
      <c r="G131" s="219">
        <f>+IFERROR(F131*E131*D131,"")</f>
        <v>167786.61724191197</v>
      </c>
      <c r="H131" s="216">
        <v>120</v>
      </c>
      <c r="I131" s="217">
        <f>IFERROR(G131/H131,"")</f>
        <v>1398.2218103492664</v>
      </c>
      <c r="J131" s="213"/>
    </row>
    <row r="132" spans="1:12" ht="13.35" customHeight="1" x14ac:dyDescent="0.25">
      <c r="A132" s="444" t="s">
        <v>86</v>
      </c>
      <c r="B132" s="445"/>
      <c r="C132" s="446"/>
      <c r="D132" s="211">
        <v>1</v>
      </c>
      <c r="E132" s="235">
        <f>+IF(D132="","",VLOOKUP(A132,$L$4:$O$10,3,FALSE))</f>
        <v>54117</v>
      </c>
      <c r="F132" s="236">
        <f>+IF(D132="","",(VLOOKUP(A132,$L$4:$O$10,4,FALSE))+1)</f>
        <v>1.7246636834087141</v>
      </c>
      <c r="G132" s="219">
        <f>+IFERROR(F132*E132*D132,"")</f>
        <v>93333.624555029382</v>
      </c>
      <c r="H132" s="216">
        <f>+H131</f>
        <v>120</v>
      </c>
      <c r="I132" s="217">
        <f t="shared" ref="I132:I133" si="13">IFERROR(G132/H132,"")</f>
        <v>777.78020462524489</v>
      </c>
      <c r="J132" s="213"/>
    </row>
    <row r="133" spans="1:12" ht="13.35" customHeight="1" x14ac:dyDescent="0.25">
      <c r="A133" s="444"/>
      <c r="B133" s="445"/>
      <c r="C133" s="446"/>
      <c r="D133" s="211"/>
      <c r="E133" s="235" t="str">
        <f>+IF(D133="","",VLOOKUP(A133,$L$4:$O$10,3,FALSE))</f>
        <v/>
      </c>
      <c r="F133" s="236" t="str">
        <f>+IF(D133="","",(VLOOKUP(A133,$L$4:$O$10,4,FALSE))+1)</f>
        <v/>
      </c>
      <c r="G133" s="219" t="str">
        <f>+IFERROR(F133*E133*D133,"")</f>
        <v/>
      </c>
      <c r="H133" s="216"/>
      <c r="I133" s="217" t="str">
        <f t="shared" si="13"/>
        <v/>
      </c>
      <c r="J133" s="213"/>
    </row>
    <row r="134" spans="1:12" x14ac:dyDescent="0.25">
      <c r="A134" s="444"/>
      <c r="B134" s="445"/>
      <c r="C134" s="446"/>
      <c r="D134" s="213"/>
      <c r="E134" s="213"/>
      <c r="F134" s="213"/>
      <c r="G134" s="213"/>
      <c r="H134" s="211"/>
      <c r="I134" s="217"/>
      <c r="J134" s="213"/>
    </row>
    <row r="135" spans="1:12" ht="14.45" customHeight="1" x14ac:dyDescent="0.25">
      <c r="A135" s="437" t="s">
        <v>100</v>
      </c>
      <c r="B135" s="438"/>
      <c r="C135" s="438"/>
      <c r="D135" s="438"/>
      <c r="E135" s="438"/>
      <c r="F135" s="438"/>
      <c r="G135" s="438"/>
      <c r="H135" s="438"/>
      <c r="I135" s="439"/>
      <c r="J135" s="217">
        <f>SUM(I131:I134)</f>
        <v>2176.0020149745114</v>
      </c>
    </row>
    <row r="136" spans="1:12" ht="13.35" customHeight="1" x14ac:dyDescent="0.25">
      <c r="A136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136" s="462"/>
      <c r="C136" s="462"/>
      <c r="D136" s="462"/>
      <c r="E136" s="462"/>
      <c r="F136" s="462"/>
      <c r="G136" s="462"/>
      <c r="H136" s="462"/>
      <c r="I136" s="462"/>
      <c r="J136" s="462"/>
    </row>
    <row r="137" spans="1:12" ht="34.700000000000003" customHeight="1" x14ac:dyDescent="0.25">
      <c r="A137" s="463"/>
      <c r="B137" s="463"/>
      <c r="C137" s="463"/>
      <c r="D137" s="463"/>
      <c r="E137" s="462"/>
      <c r="F137" s="462"/>
      <c r="G137" s="462"/>
      <c r="H137" s="462"/>
      <c r="I137" s="462"/>
      <c r="J137" s="462"/>
    </row>
    <row r="138" spans="1:12" ht="21.75" customHeight="1" x14ac:dyDescent="0.25">
      <c r="A138" s="196" t="s">
        <v>78</v>
      </c>
      <c r="B138" s="464" t="s">
        <v>79</v>
      </c>
      <c r="C138" s="464"/>
      <c r="D138" s="464"/>
      <c r="E138" s="464"/>
      <c r="F138" s="464"/>
      <c r="G138" s="464"/>
      <c r="H138" s="464"/>
      <c r="I138" s="197" t="s">
        <v>80</v>
      </c>
      <c r="J138" s="198" t="s">
        <v>81</v>
      </c>
    </row>
    <row r="139" spans="1:12" ht="21.2" customHeight="1" x14ac:dyDescent="0.25">
      <c r="A139" s="203">
        <v>3.01</v>
      </c>
      <c r="B139" s="465" t="str">
        <f>+VLOOKUP(A139,[46]PTO!$B$4:$D$28,2,FALSE)</f>
        <v xml:space="preserve">Construccion de filtros horizontales para el manejo y control de lixiviados </v>
      </c>
      <c r="C139" s="466"/>
      <c r="D139" s="466"/>
      <c r="E139" s="466"/>
      <c r="F139" s="466"/>
      <c r="G139" s="466"/>
      <c r="H139" s="467"/>
      <c r="I139" s="204" t="str">
        <f>+VLOOKUP(A139,[46]PTO!$B$4:$D$28,3,FALSE)</f>
        <v>m</v>
      </c>
      <c r="J139" s="205">
        <f>+ROUND(SUM(J147:J169),0)</f>
        <v>30789</v>
      </c>
      <c r="L139" s="232" t="e">
        <f>+VLOOKUP(A139,[46]PTO!$B$5:$E$385,5,FALSE)</f>
        <v>#REF!</v>
      </c>
    </row>
    <row r="140" spans="1:12" x14ac:dyDescent="0.25">
      <c r="A140" s="459" t="s">
        <v>87</v>
      </c>
      <c r="B140" s="459"/>
      <c r="C140" s="459"/>
      <c r="D140" s="459"/>
      <c r="E140" s="459"/>
      <c r="F140" s="459"/>
      <c r="G140" s="459"/>
      <c r="H140" s="459"/>
      <c r="I140" s="442"/>
      <c r="J140" s="442"/>
    </row>
    <row r="141" spans="1:12" x14ac:dyDescent="0.25">
      <c r="A141" s="460" t="s">
        <v>2</v>
      </c>
      <c r="B141" s="460"/>
      <c r="C141" s="460"/>
      <c r="D141" s="460"/>
      <c r="E141" s="460"/>
      <c r="F141" s="223" t="s">
        <v>89</v>
      </c>
      <c r="G141" s="234" t="s">
        <v>90</v>
      </c>
      <c r="H141" s="223" t="s">
        <v>91</v>
      </c>
      <c r="I141" s="223" t="s">
        <v>92</v>
      </c>
      <c r="J141" s="213"/>
    </row>
    <row r="142" spans="1:12" x14ac:dyDescent="0.25">
      <c r="A142" s="451" t="s">
        <v>95</v>
      </c>
      <c r="B142" s="451"/>
      <c r="C142" s="451"/>
      <c r="D142" s="451"/>
      <c r="E142" s="451"/>
      <c r="F142" s="214"/>
      <c r="G142" s="215">
        <v>0.05</v>
      </c>
      <c r="H142" s="216"/>
      <c r="I142" s="217">
        <f>ROUND(J169*G142,0)</f>
        <v>970</v>
      </c>
      <c r="J142" s="213"/>
    </row>
    <row r="143" spans="1:12" x14ac:dyDescent="0.25">
      <c r="A143" s="461" t="s">
        <v>120</v>
      </c>
      <c r="B143" s="461"/>
      <c r="C143" s="461"/>
      <c r="D143" s="461"/>
      <c r="E143" s="461"/>
      <c r="F143" s="224" t="str">
        <f>+IF(A143="","",VLOOKUP(A143,[46]MATERIALES!$B$7:$D$1222,2,FALSE))</f>
        <v>DIA</v>
      </c>
      <c r="G143" s="225">
        <f>+IF(A143="","",VLOOKUP(A143,[46]MATERIALES!$B$7:$E$1222,3,FALSE))</f>
        <v>120000</v>
      </c>
      <c r="H143" s="238">
        <f>IF(A143="","",IFERROR(1/H165,""))</f>
        <v>0.04</v>
      </c>
      <c r="I143" s="217">
        <f>IFERROR((ROUND(G143*H143,0)),"")</f>
        <v>4800</v>
      </c>
      <c r="J143" s="213"/>
    </row>
    <row r="144" spans="1:12" x14ac:dyDescent="0.25">
      <c r="A144" s="451"/>
      <c r="B144" s="451"/>
      <c r="C144" s="451"/>
      <c r="D144" s="451"/>
      <c r="E144" s="451"/>
      <c r="F144" s="224" t="str">
        <f>+IF(A144="","",VLOOKUP(A144,[46]MATERIALES!$B$7:$D$1222,2,FALSE))</f>
        <v/>
      </c>
      <c r="G144" s="225" t="str">
        <f>+IF(A144="","",VLOOKUP(A144,[46]MATERIALES!$B$7:$E$1222,3,FALSE))</f>
        <v/>
      </c>
      <c r="H144" s="238" t="str">
        <f>IF(A144="","",IFERROR(1/H166,""))</f>
        <v/>
      </c>
      <c r="I144" s="217" t="str">
        <f t="shared" ref="I144" si="14">IFERROR(G144*H144,"")</f>
        <v/>
      </c>
      <c r="J144" s="213"/>
    </row>
    <row r="145" spans="1:12" x14ac:dyDescent="0.25">
      <c r="A145" s="451"/>
      <c r="B145" s="451"/>
      <c r="C145" s="451"/>
      <c r="D145" s="451"/>
      <c r="E145" s="451"/>
      <c r="F145" s="214"/>
      <c r="G145" s="218"/>
      <c r="H145" s="216"/>
      <c r="I145" s="217"/>
      <c r="J145" s="213"/>
    </row>
    <row r="146" spans="1:12" x14ac:dyDescent="0.25">
      <c r="A146" s="451"/>
      <c r="B146" s="451"/>
      <c r="C146" s="451"/>
      <c r="D146" s="451"/>
      <c r="E146" s="451"/>
      <c r="F146" s="214"/>
      <c r="G146" s="218"/>
      <c r="H146" s="216"/>
      <c r="I146" s="217"/>
      <c r="J146" s="219"/>
    </row>
    <row r="147" spans="1:12" x14ac:dyDescent="0.25">
      <c r="A147" s="437" t="s">
        <v>100</v>
      </c>
      <c r="B147" s="438"/>
      <c r="C147" s="438"/>
      <c r="D147" s="438"/>
      <c r="E147" s="438"/>
      <c r="F147" s="438"/>
      <c r="G147" s="438"/>
      <c r="H147" s="438"/>
      <c r="I147" s="439"/>
      <c r="J147" s="217">
        <f>+SUM(I142:I146)</f>
        <v>5770</v>
      </c>
    </row>
    <row r="148" spans="1:12" x14ac:dyDescent="0.25">
      <c r="A148" s="442" t="s">
        <v>101</v>
      </c>
      <c r="B148" s="442"/>
      <c r="C148" s="442"/>
      <c r="D148" s="442"/>
      <c r="E148" s="442"/>
      <c r="F148" s="442"/>
      <c r="G148" s="442"/>
      <c r="H148" s="442"/>
      <c r="I148" s="442"/>
      <c r="J148" s="442"/>
    </row>
    <row r="149" spans="1:12" x14ac:dyDescent="0.25">
      <c r="A149" s="452" t="s">
        <v>2</v>
      </c>
      <c r="B149" s="453"/>
      <c r="C149" s="453"/>
      <c r="D149" s="454"/>
      <c r="E149" s="223" t="s">
        <v>3</v>
      </c>
      <c r="F149" s="223" t="s">
        <v>102</v>
      </c>
      <c r="G149" s="223" t="s">
        <v>4</v>
      </c>
      <c r="H149" s="223" t="s">
        <v>103</v>
      </c>
      <c r="I149" s="223" t="s">
        <v>92</v>
      </c>
      <c r="J149" s="213"/>
    </row>
    <row r="150" spans="1:12" x14ac:dyDescent="0.25">
      <c r="A150" s="444" t="s">
        <v>121</v>
      </c>
      <c r="B150" s="445"/>
      <c r="C150" s="445"/>
      <c r="D150" s="445"/>
      <c r="E150" s="224" t="str">
        <f>+IF(A150="","",VLOOKUP(A150,[46]MATERIALES!$B$7:$D$225,2,FALSE))</f>
        <v>m2</v>
      </c>
      <c r="F150" s="225">
        <f>+IF(A150="","",VLOOKUP(A150,[46]MATERIALES!$B$7:$E$225,3,FALSE))</f>
        <v>3686</v>
      </c>
      <c r="G150" s="226">
        <v>1</v>
      </c>
      <c r="H150" s="227">
        <v>0.05</v>
      </c>
      <c r="I150" s="228">
        <f t="shared" ref="I150:I153" si="15">IFERROR((ROUND((F150*G150*(1+H150)),0)),"")</f>
        <v>3870</v>
      </c>
      <c r="J150" s="213"/>
    </row>
    <row r="151" spans="1:12" x14ac:dyDescent="0.25">
      <c r="A151" s="444"/>
      <c r="B151" s="445"/>
      <c r="C151" s="445"/>
      <c r="D151" s="445"/>
      <c r="E151" s="224" t="str">
        <f>+IF(A151="","",VLOOKUP(A151,[46]MATERIALES!$B$7:$D$225,2,FALSE))</f>
        <v/>
      </c>
      <c r="F151" s="225" t="str">
        <f>+IF(A151="","",VLOOKUP(A151,[46]MATERIALES!$B$7:$E$225,3,FALSE))</f>
        <v/>
      </c>
      <c r="G151" s="238"/>
      <c r="H151" s="227"/>
      <c r="I151" s="228" t="str">
        <f t="shared" si="15"/>
        <v/>
      </c>
      <c r="J151" s="213"/>
    </row>
    <row r="152" spans="1:12" x14ac:dyDescent="0.25">
      <c r="A152" s="444"/>
      <c r="B152" s="445"/>
      <c r="C152" s="445"/>
      <c r="D152" s="445"/>
      <c r="E152" s="224" t="str">
        <f>+IF(A152="","",VLOOKUP(A152,[46]MATERIALES!$B$7:$D$225,2,FALSE))</f>
        <v/>
      </c>
      <c r="F152" s="225" t="str">
        <f>+IF(A152="","",VLOOKUP(A152,[46]MATERIALES!$B$7:$E$225,3,FALSE))</f>
        <v/>
      </c>
      <c r="G152" s="238"/>
      <c r="H152" s="227"/>
      <c r="I152" s="228" t="str">
        <f t="shared" si="15"/>
        <v/>
      </c>
      <c r="J152" s="213"/>
    </row>
    <row r="153" spans="1:12" x14ac:dyDescent="0.25">
      <c r="A153" s="444"/>
      <c r="B153" s="445"/>
      <c r="C153" s="445"/>
      <c r="D153" s="445"/>
      <c r="E153" s="224" t="str">
        <f>+IF(A153="","",VLOOKUP(A153,[46]MATERIALES!$B$7:$D$225,2,FALSE))</f>
        <v/>
      </c>
      <c r="F153" s="225" t="str">
        <f>+IF(A153="","",VLOOKUP(A153,[46]MATERIALES!$B$7:$E$225,3,FALSE))</f>
        <v/>
      </c>
      <c r="G153" s="238"/>
      <c r="H153" s="227"/>
      <c r="I153" s="228" t="str">
        <f t="shared" si="15"/>
        <v/>
      </c>
      <c r="J153" s="213"/>
    </row>
    <row r="154" spans="1:12" x14ac:dyDescent="0.25">
      <c r="A154" s="444"/>
      <c r="B154" s="445"/>
      <c r="C154" s="445"/>
      <c r="D154" s="446"/>
      <c r="E154" s="213"/>
      <c r="F154" s="214"/>
      <c r="G154" s="218"/>
      <c r="H154" s="229"/>
      <c r="I154" s="219"/>
      <c r="J154" s="213"/>
    </row>
    <row r="155" spans="1:12" x14ac:dyDescent="0.25">
      <c r="A155" s="437" t="s">
        <v>100</v>
      </c>
      <c r="B155" s="438"/>
      <c r="C155" s="438"/>
      <c r="D155" s="438"/>
      <c r="E155" s="438"/>
      <c r="F155" s="438"/>
      <c r="G155" s="438"/>
      <c r="H155" s="438"/>
      <c r="I155" s="439"/>
      <c r="J155" s="217">
        <f>SUM(I150:I154)</f>
        <v>3870</v>
      </c>
    </row>
    <row r="156" spans="1:12" x14ac:dyDescent="0.25">
      <c r="A156" s="442" t="s">
        <v>106</v>
      </c>
      <c r="B156" s="442"/>
      <c r="C156" s="442"/>
      <c r="D156" s="442"/>
      <c r="E156" s="442"/>
      <c r="F156" s="442"/>
      <c r="G156" s="442"/>
      <c r="H156" s="442"/>
      <c r="I156" s="442"/>
      <c r="J156" s="442"/>
    </row>
    <row r="157" spans="1:12" ht="22.5" x14ac:dyDescent="0.25">
      <c r="A157" s="443" t="s">
        <v>107</v>
      </c>
      <c r="B157" s="443"/>
      <c r="C157" s="443"/>
      <c r="D157" s="443"/>
      <c r="E157" s="223" t="s">
        <v>108</v>
      </c>
      <c r="F157" s="230" t="s">
        <v>109</v>
      </c>
      <c r="G157" s="223" t="s">
        <v>110</v>
      </c>
      <c r="H157" s="223" t="s">
        <v>111</v>
      </c>
      <c r="I157" s="223" t="s">
        <v>92</v>
      </c>
      <c r="J157" s="213"/>
    </row>
    <row r="158" spans="1:12" ht="23.45" customHeight="1" x14ac:dyDescent="0.25">
      <c r="A158" s="472" t="s">
        <v>118</v>
      </c>
      <c r="B158" s="473"/>
      <c r="C158" s="473"/>
      <c r="D158" s="474"/>
      <c r="E158" s="216" t="str">
        <f>+IF(A158="","",VLOOKUP(A158,[46]MATERIALES!$B$7:$E$1222,2,FALSE))</f>
        <v>M3</v>
      </c>
      <c r="F158" s="224">
        <f>0.3*0.3*1.3</f>
        <v>0.11699999999999999</v>
      </c>
      <c r="G158" s="231">
        <f>+IF(A158="","",VLOOKUP(A158,[46]MATERIALES!$B$7:$E$1222,4,FALSE))</f>
        <v>5</v>
      </c>
      <c r="H158" s="216">
        <f>+IF(A158="","",VLOOKUP(A158,[46]MATERIALES!$B$7:$E$1222,3,FALSE))</f>
        <v>3000</v>
      </c>
      <c r="I158" s="228">
        <f>IFERROR((ROUND(G158*H158*F158,0)),"")</f>
        <v>1755</v>
      </c>
      <c r="J158" s="213"/>
      <c r="L158" s="192">
        <f>0.5/100</f>
        <v>5.0000000000000001E-3</v>
      </c>
    </row>
    <row r="159" spans="1:12" x14ac:dyDescent="0.25">
      <c r="A159" s="472"/>
      <c r="B159" s="473"/>
      <c r="C159" s="473"/>
      <c r="D159" s="474"/>
      <c r="E159" s="216"/>
      <c r="F159" s="240"/>
      <c r="G159" s="231"/>
      <c r="H159" s="216"/>
      <c r="I159" s="228"/>
      <c r="J159" s="213"/>
    </row>
    <row r="160" spans="1:12" x14ac:dyDescent="0.25">
      <c r="A160" s="447"/>
      <c r="B160" s="447"/>
      <c r="C160" s="447"/>
      <c r="D160" s="447"/>
      <c r="E160" s="213"/>
      <c r="F160" s="214"/>
      <c r="G160" s="233"/>
      <c r="H160" s="216"/>
      <c r="I160" s="219"/>
      <c r="J160" s="213"/>
    </row>
    <row r="161" spans="1:12" x14ac:dyDescent="0.25">
      <c r="A161" s="447"/>
      <c r="B161" s="447"/>
      <c r="C161" s="447"/>
      <c r="D161" s="447"/>
      <c r="E161" s="213"/>
      <c r="F161" s="213"/>
      <c r="G161" s="213"/>
      <c r="H161" s="211"/>
      <c r="I161" s="213"/>
      <c r="J161" s="213"/>
    </row>
    <row r="162" spans="1:12" x14ac:dyDescent="0.25">
      <c r="A162" s="437" t="s">
        <v>100</v>
      </c>
      <c r="B162" s="438"/>
      <c r="C162" s="438"/>
      <c r="D162" s="438"/>
      <c r="E162" s="438"/>
      <c r="F162" s="438"/>
      <c r="G162" s="438"/>
      <c r="H162" s="438"/>
      <c r="I162" s="439"/>
      <c r="J162" s="217">
        <f>SUM(I158:I161)</f>
        <v>1755</v>
      </c>
    </row>
    <row r="163" spans="1:12" x14ac:dyDescent="0.25">
      <c r="A163" s="442" t="s">
        <v>112</v>
      </c>
      <c r="B163" s="442"/>
      <c r="C163" s="442"/>
      <c r="D163" s="442"/>
      <c r="E163" s="442"/>
      <c r="F163" s="442"/>
      <c r="G163" s="442"/>
      <c r="H163" s="442"/>
      <c r="I163" s="442"/>
      <c r="J163" s="442"/>
    </row>
    <row r="164" spans="1:12" x14ac:dyDescent="0.25">
      <c r="A164" s="443" t="s">
        <v>113</v>
      </c>
      <c r="B164" s="443"/>
      <c r="C164" s="443"/>
      <c r="D164" s="443"/>
      <c r="E164" s="223" t="s">
        <v>114</v>
      </c>
      <c r="F164" s="223" t="s">
        <v>115</v>
      </c>
      <c r="G164" s="234" t="s">
        <v>116</v>
      </c>
      <c r="H164" s="223" t="s">
        <v>91</v>
      </c>
      <c r="I164" s="223" t="s">
        <v>92</v>
      </c>
      <c r="J164" s="213"/>
    </row>
    <row r="165" spans="1:12" x14ac:dyDescent="0.25">
      <c r="A165" s="444" t="s">
        <v>97</v>
      </c>
      <c r="B165" s="445"/>
      <c r="C165" s="446"/>
      <c r="D165" s="211">
        <v>1</v>
      </c>
      <c r="E165" s="235">
        <f>+IF(D165="","",VLOOKUP(A165,$L$4:$O$10,3,FALSE))</f>
        <v>101567</v>
      </c>
      <c r="F165" s="236">
        <f>+IF(D165="","",(VLOOKUP(A165,$L$4:$O$10,4,FALSE))+1)</f>
        <v>1.6519796512835072</v>
      </c>
      <c r="G165" s="219">
        <f t="shared" ref="G165:G166" si="16">+IFERROR(F165*E165*D165,"")</f>
        <v>167786.61724191197</v>
      </c>
      <c r="H165" s="216">
        <v>25</v>
      </c>
      <c r="I165" s="228">
        <f t="shared" ref="I165:I166" si="17">+IFERROR((ROUND(G165/H165,0)),"")</f>
        <v>6711</v>
      </c>
      <c r="J165" s="213"/>
    </row>
    <row r="166" spans="1:12" ht="13.35" customHeight="1" x14ac:dyDescent="0.25">
      <c r="A166" s="444" t="s">
        <v>93</v>
      </c>
      <c r="B166" s="445"/>
      <c r="C166" s="446"/>
      <c r="D166" s="211">
        <v>1</v>
      </c>
      <c r="E166" s="235">
        <f>+IF(D166="","",VLOOKUP(A166,$L$4:$O$10,3,FALSE))</f>
        <v>77842</v>
      </c>
      <c r="F166" s="236">
        <f>+IF(D166="","",(VLOOKUP(A166,$L$4:$O$10,4,FALSE))+1)</f>
        <v>1.6752877632282406</v>
      </c>
      <c r="G166" s="219">
        <f t="shared" si="16"/>
        <v>130407.75006521271</v>
      </c>
      <c r="H166" s="216">
        <f>+H165</f>
        <v>25</v>
      </c>
      <c r="I166" s="228">
        <f t="shared" si="17"/>
        <v>5216</v>
      </c>
      <c r="J166" s="213"/>
    </row>
    <row r="167" spans="1:12" ht="13.35" customHeight="1" x14ac:dyDescent="0.25">
      <c r="A167" s="444" t="s">
        <v>86</v>
      </c>
      <c r="B167" s="445"/>
      <c r="C167" s="446"/>
      <c r="D167" s="211">
        <v>2</v>
      </c>
      <c r="E167" s="235">
        <f>+IF(D167="","",VLOOKUP(A167,$L$4:$O$10,3,FALSE))</f>
        <v>54117</v>
      </c>
      <c r="F167" s="236">
        <f>+IF(D167="","",(VLOOKUP(A167,$L$4:$O$10,4,FALSE))+1)</f>
        <v>1.7246636834087141</v>
      </c>
      <c r="G167" s="219">
        <f>+IFERROR(F167*E167*D167,"")</f>
        <v>186667.24911005876</v>
      </c>
      <c r="H167" s="216">
        <f>+H166</f>
        <v>25</v>
      </c>
      <c r="I167" s="228">
        <f>+IFERROR((ROUND(G167/H167,0)),"")</f>
        <v>7467</v>
      </c>
      <c r="J167" s="213"/>
    </row>
    <row r="168" spans="1:12" x14ac:dyDescent="0.25">
      <c r="A168" s="444"/>
      <c r="B168" s="445"/>
      <c r="C168" s="446"/>
      <c r="D168" s="213"/>
      <c r="E168" s="213"/>
      <c r="F168" s="213"/>
      <c r="G168" s="213"/>
      <c r="H168" s="211"/>
      <c r="I168" s="217"/>
      <c r="J168" s="213"/>
    </row>
    <row r="169" spans="1:12" ht="14.45" customHeight="1" x14ac:dyDescent="0.25">
      <c r="A169" s="437" t="s">
        <v>100</v>
      </c>
      <c r="B169" s="438"/>
      <c r="C169" s="438"/>
      <c r="D169" s="438"/>
      <c r="E169" s="438"/>
      <c r="F169" s="438"/>
      <c r="G169" s="438"/>
      <c r="H169" s="438"/>
      <c r="I169" s="439"/>
      <c r="J169" s="217">
        <f>SUM(I165:I168)</f>
        <v>19394</v>
      </c>
    </row>
    <row r="170" spans="1:12" ht="13.35" customHeight="1" x14ac:dyDescent="0.25">
      <c r="A170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170" s="462"/>
      <c r="C170" s="462"/>
      <c r="D170" s="462"/>
      <c r="E170" s="462"/>
      <c r="F170" s="462"/>
      <c r="G170" s="462"/>
      <c r="H170" s="462"/>
      <c r="I170" s="462"/>
      <c r="J170" s="462"/>
    </row>
    <row r="171" spans="1:12" ht="33.4" customHeight="1" x14ac:dyDescent="0.25">
      <c r="A171" s="463"/>
      <c r="B171" s="463"/>
      <c r="C171" s="463"/>
      <c r="D171" s="463"/>
      <c r="E171" s="462"/>
      <c r="F171" s="462"/>
      <c r="G171" s="462"/>
      <c r="H171" s="462"/>
      <c r="I171" s="462"/>
      <c r="J171" s="462"/>
    </row>
    <row r="172" spans="1:12" ht="19.149999999999999" customHeight="1" x14ac:dyDescent="0.25">
      <c r="A172" s="196" t="s">
        <v>78</v>
      </c>
      <c r="B172" s="464" t="s">
        <v>79</v>
      </c>
      <c r="C172" s="464"/>
      <c r="D172" s="464"/>
      <c r="E172" s="464"/>
      <c r="F172" s="464"/>
      <c r="G172" s="464"/>
      <c r="H172" s="464"/>
      <c r="I172" s="197" t="s">
        <v>80</v>
      </c>
      <c r="J172" s="198" t="s">
        <v>81</v>
      </c>
    </row>
    <row r="173" spans="1:12" ht="14.25" customHeight="1" x14ac:dyDescent="0.25">
      <c r="A173" s="203">
        <v>3.02</v>
      </c>
      <c r="B173" s="465" t="str">
        <f>+VLOOKUP(A173,[46]PTO!$B$4:$D$28,2,FALSE)</f>
        <v>Excavación en material común para zanjas y filtros de 0 a 2.00 mts.</v>
      </c>
      <c r="C173" s="466"/>
      <c r="D173" s="466"/>
      <c r="E173" s="466"/>
      <c r="F173" s="466"/>
      <c r="G173" s="466"/>
      <c r="H173" s="467"/>
      <c r="I173" s="204" t="str">
        <f>+VLOOKUP(A173,[46]PTO!$B$4:$D$28,3,FALSE)</f>
        <v xml:space="preserve">m3 </v>
      </c>
      <c r="J173" s="205">
        <f>+ROUND(SUM(J181:J204),0)</f>
        <v>60611</v>
      </c>
      <c r="L173" s="232" t="e">
        <f>+VLOOKUP(A173,[46]PTO!$B$5:$E$385,5,FALSE)</f>
        <v>#REF!</v>
      </c>
    </row>
    <row r="174" spans="1:12" x14ac:dyDescent="0.25">
      <c r="A174" s="459" t="s">
        <v>87</v>
      </c>
      <c r="B174" s="459"/>
      <c r="C174" s="459"/>
      <c r="D174" s="459"/>
      <c r="E174" s="459"/>
      <c r="F174" s="459"/>
      <c r="G174" s="459"/>
      <c r="H174" s="459"/>
      <c r="I174" s="442"/>
      <c r="J174" s="442"/>
    </row>
    <row r="175" spans="1:12" x14ac:dyDescent="0.25">
      <c r="A175" s="460" t="s">
        <v>2</v>
      </c>
      <c r="B175" s="460"/>
      <c r="C175" s="460"/>
      <c r="D175" s="460"/>
      <c r="E175" s="460"/>
      <c r="F175" s="223" t="s">
        <v>89</v>
      </c>
      <c r="G175" s="234" t="s">
        <v>90</v>
      </c>
      <c r="H175" s="223" t="s">
        <v>91</v>
      </c>
      <c r="I175" s="223" t="s">
        <v>92</v>
      </c>
      <c r="J175" s="213"/>
    </row>
    <row r="176" spans="1:12" x14ac:dyDescent="0.25">
      <c r="A176" s="451" t="s">
        <v>95</v>
      </c>
      <c r="B176" s="451"/>
      <c r="C176" s="451"/>
      <c r="D176" s="451"/>
      <c r="E176" s="451"/>
      <c r="F176" s="214"/>
      <c r="G176" s="215">
        <v>0.05</v>
      </c>
      <c r="H176" s="216"/>
      <c r="I176" s="217">
        <f>ROUND(J204*G176,0)</f>
        <v>1958</v>
      </c>
      <c r="J176" s="213"/>
      <c r="L176" s="241" t="e">
        <f>+L173-J173</f>
        <v>#REF!</v>
      </c>
    </row>
    <row r="177" spans="1:12" ht="13.35" customHeight="1" x14ac:dyDescent="0.25">
      <c r="A177" s="461"/>
      <c r="B177" s="461"/>
      <c r="C177" s="461"/>
      <c r="D177" s="461"/>
      <c r="E177" s="461"/>
      <c r="F177" s="224" t="str">
        <f>+IF(A177="","",VLOOKUP(A177,[46]MATERIALES!$B$7:$D$1222,2,FALSE))</f>
        <v/>
      </c>
      <c r="G177" s="225" t="str">
        <f>+IF(A177="","",VLOOKUP(A177,[46]MATERIALES!$B$7:$E$1222,3,FALSE))</f>
        <v/>
      </c>
      <c r="H177" s="238" t="str">
        <f>IF(A177="","",IFERROR(1/H200,""))</f>
        <v/>
      </c>
      <c r="I177" s="217" t="str">
        <f>IFERROR((ROUND(G177*H177,0)),"")</f>
        <v/>
      </c>
      <c r="J177" s="213"/>
      <c r="L177" s="241" t="e">
        <f>+L176+I184</f>
        <v>#REF!</v>
      </c>
    </row>
    <row r="178" spans="1:12" x14ac:dyDescent="0.25">
      <c r="A178" s="451"/>
      <c r="B178" s="451"/>
      <c r="C178" s="451"/>
      <c r="D178" s="451"/>
      <c r="E178" s="451"/>
      <c r="F178" s="224" t="str">
        <f>+IF(A178="","",VLOOKUP(A178,[46]MATERIALES!$B$7:$D$1222,2,FALSE))</f>
        <v/>
      </c>
      <c r="G178" s="225" t="str">
        <f>+IF(A178="","",VLOOKUP(A178,[46]MATERIALES!$B$7:$E$1222,3,FALSE))</f>
        <v/>
      </c>
      <c r="H178" s="238" t="str">
        <f>IF(A178="","",IFERROR(1/H201,""))</f>
        <v/>
      </c>
      <c r="I178" s="217" t="str">
        <f t="shared" ref="I178" si="18">IFERROR(G178*H178,"")</f>
        <v/>
      </c>
      <c r="J178" s="213"/>
    </row>
    <row r="179" spans="1:12" x14ac:dyDescent="0.25">
      <c r="A179" s="451"/>
      <c r="B179" s="451"/>
      <c r="C179" s="451"/>
      <c r="D179" s="451"/>
      <c r="E179" s="451"/>
      <c r="F179" s="214"/>
      <c r="G179" s="218"/>
      <c r="H179" s="216"/>
      <c r="I179" s="217"/>
      <c r="J179" s="213"/>
    </row>
    <row r="180" spans="1:12" x14ac:dyDescent="0.25">
      <c r="A180" s="451"/>
      <c r="B180" s="451"/>
      <c r="C180" s="451"/>
      <c r="D180" s="451"/>
      <c r="E180" s="451"/>
      <c r="F180" s="214"/>
      <c r="G180" s="218"/>
      <c r="H180" s="216"/>
      <c r="I180" s="217"/>
      <c r="J180" s="219"/>
    </row>
    <row r="181" spans="1:12" x14ac:dyDescent="0.25">
      <c r="A181" s="437" t="s">
        <v>100</v>
      </c>
      <c r="B181" s="438"/>
      <c r="C181" s="438"/>
      <c r="D181" s="438"/>
      <c r="E181" s="438"/>
      <c r="F181" s="438"/>
      <c r="G181" s="438"/>
      <c r="H181" s="438"/>
      <c r="I181" s="439"/>
      <c r="J181" s="217">
        <f>+SUM(I176:I180)</f>
        <v>1958</v>
      </c>
    </row>
    <row r="182" spans="1:12" x14ac:dyDescent="0.25">
      <c r="A182" s="442" t="s">
        <v>101</v>
      </c>
      <c r="B182" s="442"/>
      <c r="C182" s="442"/>
      <c r="D182" s="442"/>
      <c r="E182" s="442"/>
      <c r="F182" s="442"/>
      <c r="G182" s="442"/>
      <c r="H182" s="442"/>
      <c r="I182" s="442"/>
      <c r="J182" s="442"/>
    </row>
    <row r="183" spans="1:12" x14ac:dyDescent="0.25">
      <c r="A183" s="452" t="s">
        <v>2</v>
      </c>
      <c r="B183" s="453"/>
      <c r="C183" s="453"/>
      <c r="D183" s="454"/>
      <c r="E183" s="223" t="s">
        <v>3</v>
      </c>
      <c r="F183" s="223" t="s">
        <v>102</v>
      </c>
      <c r="G183" s="223" t="s">
        <v>4</v>
      </c>
      <c r="H183" s="223" t="s">
        <v>103</v>
      </c>
      <c r="I183" s="223" t="s">
        <v>92</v>
      </c>
      <c r="J183" s="213"/>
    </row>
    <row r="184" spans="1:12" x14ac:dyDescent="0.25">
      <c r="A184" s="444"/>
      <c r="B184" s="445"/>
      <c r="C184" s="445"/>
      <c r="D184" s="445"/>
      <c r="E184" s="224" t="str">
        <f>+IF(A184="","",VLOOKUP(A184,[46]MATERIALES!$B$7:$D$225,2,FALSE))</f>
        <v/>
      </c>
      <c r="F184" s="225" t="str">
        <f>+IF(A184="","",VLOOKUP(A184,[46]MATERIALES!$B$7:$E$225,3,FALSE))</f>
        <v/>
      </c>
      <c r="G184" s="226"/>
      <c r="H184" s="227"/>
      <c r="I184" s="228" t="str">
        <f t="shared" ref="I184:I188" si="19">IFERROR((ROUND((F184*G184*(1+H184)),0)),"")</f>
        <v/>
      </c>
      <c r="J184" s="213"/>
    </row>
    <row r="185" spans="1:12" x14ac:dyDescent="0.25">
      <c r="A185" s="444"/>
      <c r="B185" s="445"/>
      <c r="C185" s="445"/>
      <c r="D185" s="445"/>
      <c r="E185" s="224" t="str">
        <f>+IF(A185="","",VLOOKUP(A185,[46]MATERIALES!$B$7:$D$225,2,FALSE))</f>
        <v/>
      </c>
      <c r="F185" s="225" t="str">
        <f>+IF(A185="","",VLOOKUP(A185,[46]MATERIALES!$B$7:$E$225,3,FALSE))</f>
        <v/>
      </c>
      <c r="G185" s="226"/>
      <c r="H185" s="227"/>
      <c r="I185" s="228" t="str">
        <f t="shared" si="19"/>
        <v/>
      </c>
      <c r="J185" s="213"/>
    </row>
    <row r="186" spans="1:12" x14ac:dyDescent="0.25">
      <c r="A186" s="444"/>
      <c r="B186" s="445"/>
      <c r="C186" s="445"/>
      <c r="D186" s="445"/>
      <c r="E186" s="224" t="str">
        <f>+IF(A186="","",VLOOKUP(A186,[46]MATERIALES!$B$7:$D$225,2,FALSE))</f>
        <v/>
      </c>
      <c r="F186" s="225" t="str">
        <f>+IF(A186="","",VLOOKUP(A186,[46]MATERIALES!$B$7:$E$225,3,FALSE))</f>
        <v/>
      </c>
      <c r="G186" s="238"/>
      <c r="H186" s="227"/>
      <c r="I186" s="228" t="str">
        <f t="shared" si="19"/>
        <v/>
      </c>
      <c r="J186" s="213"/>
    </row>
    <row r="187" spans="1:12" x14ac:dyDescent="0.25">
      <c r="A187" s="444"/>
      <c r="B187" s="445"/>
      <c r="C187" s="445"/>
      <c r="D187" s="445"/>
      <c r="E187" s="224" t="str">
        <f>+IF(A187="","",VLOOKUP(A187,[46]MATERIALES!$B$7:$D$225,2,FALSE))</f>
        <v/>
      </c>
      <c r="F187" s="225" t="str">
        <f>+IF(A187="","",VLOOKUP(A187,[46]MATERIALES!$B$7:$E$225,3,FALSE))</f>
        <v/>
      </c>
      <c r="G187" s="238"/>
      <c r="H187" s="227"/>
      <c r="I187" s="228" t="str">
        <f t="shared" si="19"/>
        <v/>
      </c>
      <c r="J187" s="213"/>
    </row>
    <row r="188" spans="1:12" x14ac:dyDescent="0.25">
      <c r="A188" s="444"/>
      <c r="B188" s="445"/>
      <c r="C188" s="445"/>
      <c r="D188" s="445"/>
      <c r="E188" s="224" t="str">
        <f>+IF(A188="","",VLOOKUP(A188,[46]MATERIALES!$B$7:$D$225,2,FALSE))</f>
        <v/>
      </c>
      <c r="F188" s="225" t="str">
        <f>+IF(A188="","",VLOOKUP(A188,[46]MATERIALES!$B$7:$E$225,3,FALSE))</f>
        <v/>
      </c>
      <c r="G188" s="238"/>
      <c r="H188" s="227"/>
      <c r="I188" s="228" t="str">
        <f t="shared" si="19"/>
        <v/>
      </c>
      <c r="J188" s="213"/>
    </row>
    <row r="189" spans="1:12" x14ac:dyDescent="0.25">
      <c r="A189" s="444"/>
      <c r="B189" s="445"/>
      <c r="C189" s="445"/>
      <c r="D189" s="445"/>
      <c r="E189" s="224"/>
      <c r="F189" s="214"/>
      <c r="G189" s="218"/>
      <c r="H189" s="216"/>
      <c r="I189" s="217">
        <f t="shared" ref="I189" si="20">IFERROR(G189*H189,"")</f>
        <v>0</v>
      </c>
      <c r="J189" s="213"/>
    </row>
    <row r="190" spans="1:12" x14ac:dyDescent="0.25">
      <c r="A190" s="437" t="s">
        <v>100</v>
      </c>
      <c r="B190" s="438"/>
      <c r="C190" s="438"/>
      <c r="D190" s="438"/>
      <c r="E190" s="438"/>
      <c r="F190" s="438"/>
      <c r="G190" s="438"/>
      <c r="H190" s="438"/>
      <c r="I190" s="439"/>
      <c r="J190" s="217">
        <f>SUM(I184:I189)</f>
        <v>0</v>
      </c>
    </row>
    <row r="191" spans="1:12" x14ac:dyDescent="0.25">
      <c r="A191" s="442" t="s">
        <v>106</v>
      </c>
      <c r="B191" s="442"/>
      <c r="C191" s="442"/>
      <c r="D191" s="442"/>
      <c r="E191" s="442"/>
      <c r="F191" s="442"/>
      <c r="G191" s="442"/>
      <c r="H191" s="442"/>
      <c r="I191" s="442"/>
      <c r="J191" s="442"/>
    </row>
    <row r="192" spans="1:12" ht="22.5" x14ac:dyDescent="0.25">
      <c r="A192" s="443" t="s">
        <v>107</v>
      </c>
      <c r="B192" s="443"/>
      <c r="C192" s="443"/>
      <c r="D192" s="443"/>
      <c r="E192" s="223" t="s">
        <v>108</v>
      </c>
      <c r="F192" s="230" t="s">
        <v>109</v>
      </c>
      <c r="G192" s="223" t="s">
        <v>110</v>
      </c>
      <c r="H192" s="223" t="s">
        <v>111</v>
      </c>
      <c r="I192" s="223" t="s">
        <v>92</v>
      </c>
      <c r="J192" s="213"/>
    </row>
    <row r="193" spans="1:12" ht="23.45" customHeight="1" x14ac:dyDescent="0.25">
      <c r="A193" s="472" t="s">
        <v>118</v>
      </c>
      <c r="B193" s="473"/>
      <c r="C193" s="473"/>
      <c r="D193" s="474"/>
      <c r="E193" s="216" t="str">
        <f>+IF(A193="","",VLOOKUP(A193,[46]MATERIALES!$B$7:$E$1222,2,FALSE))</f>
        <v>M3</v>
      </c>
      <c r="F193" s="224">
        <v>1.3</v>
      </c>
      <c r="G193" s="231">
        <f>+IF(A193="","",VLOOKUP(A193,[46]MATERIALES!$B$7:$E$1222,4,FALSE))</f>
        <v>5</v>
      </c>
      <c r="H193" s="216">
        <f>+IF(A193="","",VLOOKUP(A193,[46]MATERIALES!$B$7:$E$1222,3,FALSE))</f>
        <v>3000</v>
      </c>
      <c r="I193" s="228">
        <f>IFERROR((ROUND(G193*H193*F193,0)),"")</f>
        <v>19500</v>
      </c>
      <c r="J193" s="213"/>
    </row>
    <row r="194" spans="1:12" x14ac:dyDescent="0.25">
      <c r="A194" s="472"/>
      <c r="B194" s="473"/>
      <c r="C194" s="473"/>
      <c r="D194" s="474"/>
      <c r="E194" s="216" t="str">
        <f>+IF(A194="","",VLOOKUP(A194,[46]MATERIALES!$B$7:$E$1222,2,FALSE))</f>
        <v/>
      </c>
      <c r="F194" s="224"/>
      <c r="G194" s="231" t="str">
        <f>+IF(A194="","",VLOOKUP(A194,[46]MATERIALES!$B$7:$E$1222,4,FALSE))</f>
        <v/>
      </c>
      <c r="H194" s="216" t="str">
        <f>+IF(A194="","",VLOOKUP(A194,[46]MATERIALES!$B$7:$E$1222,3,FALSE))</f>
        <v/>
      </c>
      <c r="I194" s="228" t="str">
        <f>IFERROR((ROUND(G194*H194*F194,0)),"")</f>
        <v/>
      </c>
      <c r="J194" s="213"/>
    </row>
    <row r="195" spans="1:12" x14ac:dyDescent="0.25">
      <c r="A195" s="447"/>
      <c r="B195" s="447"/>
      <c r="C195" s="447"/>
      <c r="D195" s="447"/>
      <c r="E195" s="213"/>
      <c r="F195" s="214"/>
      <c r="G195" s="233"/>
      <c r="H195" s="216"/>
      <c r="I195" s="219"/>
      <c r="J195" s="213"/>
    </row>
    <row r="196" spans="1:12" x14ac:dyDescent="0.25">
      <c r="A196" s="447"/>
      <c r="B196" s="447"/>
      <c r="C196" s="447"/>
      <c r="D196" s="447"/>
      <c r="E196" s="213"/>
      <c r="F196" s="213"/>
      <c r="G196" s="213"/>
      <c r="H196" s="211"/>
      <c r="I196" s="213"/>
      <c r="J196" s="213"/>
    </row>
    <row r="197" spans="1:12" x14ac:dyDescent="0.25">
      <c r="A197" s="437" t="s">
        <v>100</v>
      </c>
      <c r="B197" s="438"/>
      <c r="C197" s="438"/>
      <c r="D197" s="438"/>
      <c r="E197" s="438"/>
      <c r="F197" s="438"/>
      <c r="G197" s="438"/>
      <c r="H197" s="438"/>
      <c r="I197" s="439"/>
      <c r="J197" s="217">
        <f>SUM(I193:I196)</f>
        <v>19500</v>
      </c>
    </row>
    <row r="198" spans="1:12" x14ac:dyDescent="0.25">
      <c r="A198" s="442" t="s">
        <v>112</v>
      </c>
      <c r="B198" s="442"/>
      <c r="C198" s="442"/>
      <c r="D198" s="442"/>
      <c r="E198" s="442"/>
      <c r="F198" s="442"/>
      <c r="G198" s="442"/>
      <c r="H198" s="442"/>
      <c r="I198" s="442"/>
      <c r="J198" s="442"/>
    </row>
    <row r="199" spans="1:12" x14ac:dyDescent="0.25">
      <c r="A199" s="443" t="s">
        <v>113</v>
      </c>
      <c r="B199" s="443"/>
      <c r="C199" s="443"/>
      <c r="D199" s="443"/>
      <c r="E199" s="223" t="s">
        <v>114</v>
      </c>
      <c r="F199" s="223" t="s">
        <v>115</v>
      </c>
      <c r="G199" s="234" t="s">
        <v>116</v>
      </c>
      <c r="H199" s="223" t="s">
        <v>91</v>
      </c>
      <c r="I199" s="223" t="s">
        <v>92</v>
      </c>
      <c r="J199" s="213"/>
    </row>
    <row r="200" spans="1:12" x14ac:dyDescent="0.25">
      <c r="A200" s="444" t="s">
        <v>97</v>
      </c>
      <c r="B200" s="445"/>
      <c r="C200" s="446"/>
      <c r="D200" s="211">
        <v>1</v>
      </c>
      <c r="E200" s="235">
        <f>+IF(D200="","",VLOOKUP(A200,$L$4:$O$10,3,FALSE))</f>
        <v>101567</v>
      </c>
      <c r="F200" s="236">
        <f>+IF(D200="","",(VLOOKUP(A200,$L$4:$O$10,4,FALSE))+1)</f>
        <v>1.6519796512835072</v>
      </c>
      <c r="G200" s="219">
        <f t="shared" ref="G200:G202" si="21">+IFERROR(F200*E200*D200,"")</f>
        <v>167786.61724191197</v>
      </c>
      <c r="H200" s="216">
        <v>10</v>
      </c>
      <c r="I200" s="228">
        <f t="shared" ref="I200:I202" si="22">+IFERROR((ROUND(G200/H200,0)),"")</f>
        <v>16779</v>
      </c>
      <c r="J200" s="213"/>
    </row>
    <row r="201" spans="1:12" ht="13.35" customHeight="1" x14ac:dyDescent="0.25">
      <c r="A201" s="444" t="s">
        <v>93</v>
      </c>
      <c r="B201" s="445"/>
      <c r="C201" s="446"/>
      <c r="D201" s="211">
        <v>1</v>
      </c>
      <c r="E201" s="235">
        <f>+IF(D201="","",VLOOKUP(A201,$L$4:$O$10,3,FALSE))</f>
        <v>77842</v>
      </c>
      <c r="F201" s="236">
        <f>+IF(D201="","",(VLOOKUP(A201,$L$4:$O$10,4,FALSE))+1)</f>
        <v>1.6752877632282406</v>
      </c>
      <c r="G201" s="219">
        <f t="shared" si="21"/>
        <v>130407.75006521271</v>
      </c>
      <c r="H201" s="216">
        <f>+H200</f>
        <v>10</v>
      </c>
      <c r="I201" s="228">
        <f t="shared" si="22"/>
        <v>13041</v>
      </c>
      <c r="J201" s="213"/>
    </row>
    <row r="202" spans="1:12" ht="13.35" customHeight="1" x14ac:dyDescent="0.25">
      <c r="A202" s="444" t="s">
        <v>86</v>
      </c>
      <c r="B202" s="445"/>
      <c r="C202" s="446"/>
      <c r="D202" s="211">
        <v>1</v>
      </c>
      <c r="E202" s="235">
        <f>+IF(D202="","",VLOOKUP(A202,$L$4:$O$10,3,FALSE))</f>
        <v>54117</v>
      </c>
      <c r="F202" s="236">
        <f>+IF(D202="","",(VLOOKUP(A202,$L$4:$O$10,4,FALSE))+1)</f>
        <v>1.7246636834087141</v>
      </c>
      <c r="G202" s="219">
        <f t="shared" si="21"/>
        <v>93333.624555029382</v>
      </c>
      <c r="H202" s="216">
        <f>+H201</f>
        <v>10</v>
      </c>
      <c r="I202" s="228">
        <f t="shared" si="22"/>
        <v>9333</v>
      </c>
      <c r="J202" s="213"/>
    </row>
    <row r="203" spans="1:12" x14ac:dyDescent="0.25">
      <c r="A203" s="444"/>
      <c r="B203" s="445"/>
      <c r="C203" s="446"/>
      <c r="D203" s="213"/>
      <c r="E203" s="213"/>
      <c r="F203" s="213"/>
      <c r="G203" s="213"/>
      <c r="H203" s="211"/>
      <c r="I203" s="217"/>
      <c r="J203" s="213"/>
    </row>
    <row r="204" spans="1:12" ht="14.45" customHeight="1" x14ac:dyDescent="0.25">
      <c r="A204" s="437" t="s">
        <v>100</v>
      </c>
      <c r="B204" s="438"/>
      <c r="C204" s="438"/>
      <c r="D204" s="438"/>
      <c r="E204" s="438"/>
      <c r="F204" s="438"/>
      <c r="G204" s="438"/>
      <c r="H204" s="438"/>
      <c r="I204" s="439"/>
      <c r="J204" s="217">
        <f>SUM(I200:I203)</f>
        <v>39153</v>
      </c>
    </row>
    <row r="205" spans="1:12" ht="13.35" customHeight="1" x14ac:dyDescent="0.25">
      <c r="A205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205" s="462"/>
      <c r="C205" s="462"/>
      <c r="D205" s="462"/>
      <c r="E205" s="462"/>
      <c r="F205" s="462"/>
      <c r="G205" s="462"/>
      <c r="H205" s="462"/>
      <c r="I205" s="462"/>
      <c r="J205" s="462"/>
    </row>
    <row r="206" spans="1:12" ht="34.700000000000003" customHeight="1" x14ac:dyDescent="0.25">
      <c r="A206" s="463"/>
      <c r="B206" s="463"/>
      <c r="C206" s="463"/>
      <c r="D206" s="463"/>
      <c r="E206" s="462"/>
      <c r="F206" s="462"/>
      <c r="G206" s="462"/>
      <c r="H206" s="462"/>
      <c r="I206" s="462"/>
      <c r="J206" s="462"/>
    </row>
    <row r="207" spans="1:12" ht="21.75" customHeight="1" x14ac:dyDescent="0.25">
      <c r="A207" s="196" t="s">
        <v>78</v>
      </c>
      <c r="B207" s="464" t="s">
        <v>79</v>
      </c>
      <c r="C207" s="464"/>
      <c r="D207" s="464"/>
      <c r="E207" s="464"/>
      <c r="F207" s="464"/>
      <c r="G207" s="464"/>
      <c r="H207" s="464"/>
      <c r="I207" s="197" t="s">
        <v>80</v>
      </c>
      <c r="J207" s="198" t="s">
        <v>81</v>
      </c>
    </row>
    <row r="208" spans="1:12" ht="21.75" customHeight="1" x14ac:dyDescent="0.25">
      <c r="A208" s="203">
        <v>3.03</v>
      </c>
      <c r="B208" s="465" t="str">
        <f>+VLOOKUP(A208,[46]PTO!$B$4:$D$28,2,FALSE)</f>
        <v>Suministro, transporte y colocación de material friltrante (gravilla seleccionada de 4 a 6")</v>
      </c>
      <c r="C208" s="466"/>
      <c r="D208" s="466"/>
      <c r="E208" s="466"/>
      <c r="F208" s="466"/>
      <c r="G208" s="466"/>
      <c r="H208" s="467"/>
      <c r="I208" s="204" t="str">
        <f>+VLOOKUP(A208,[46]PTO!$B$4:$D$28,3,FALSE)</f>
        <v>m3</v>
      </c>
      <c r="J208" s="205">
        <f>+ROUND(SUM(J216:J239),0)</f>
        <v>182544</v>
      </c>
      <c r="L208" s="232" t="e">
        <f>+VLOOKUP(A208,[46]PTO!$B$5:$E$385,5,FALSE)</f>
        <v>#REF!</v>
      </c>
    </row>
    <row r="209" spans="1:12" x14ac:dyDescent="0.25">
      <c r="A209" s="459" t="s">
        <v>87</v>
      </c>
      <c r="B209" s="459"/>
      <c r="C209" s="459"/>
      <c r="D209" s="459"/>
      <c r="E209" s="459"/>
      <c r="F209" s="459"/>
      <c r="G209" s="459"/>
      <c r="H209" s="459"/>
      <c r="I209" s="442"/>
      <c r="J209" s="442"/>
    </row>
    <row r="210" spans="1:12" x14ac:dyDescent="0.25">
      <c r="A210" s="460" t="s">
        <v>2</v>
      </c>
      <c r="B210" s="460"/>
      <c r="C210" s="460"/>
      <c r="D210" s="460"/>
      <c r="E210" s="460"/>
      <c r="F210" s="223" t="s">
        <v>89</v>
      </c>
      <c r="G210" s="234" t="s">
        <v>90</v>
      </c>
      <c r="H210" s="223" t="s">
        <v>91</v>
      </c>
      <c r="I210" s="223" t="s">
        <v>92</v>
      </c>
      <c r="J210" s="213"/>
    </row>
    <row r="211" spans="1:12" x14ac:dyDescent="0.25">
      <c r="A211" s="451" t="s">
        <v>95</v>
      </c>
      <c r="B211" s="451"/>
      <c r="C211" s="451"/>
      <c r="D211" s="451"/>
      <c r="E211" s="451"/>
      <c r="F211" s="214"/>
      <c r="G211" s="215">
        <v>0.05</v>
      </c>
      <c r="H211" s="216"/>
      <c r="I211" s="217">
        <f>ROUND(J239*G211,0)</f>
        <v>3264</v>
      </c>
      <c r="J211" s="213"/>
      <c r="L211" s="241" t="e">
        <f>+L208-J208</f>
        <v>#REF!</v>
      </c>
    </row>
    <row r="212" spans="1:12" ht="13.35" customHeight="1" x14ac:dyDescent="0.25">
      <c r="A212" s="461" t="s">
        <v>120</v>
      </c>
      <c r="B212" s="461"/>
      <c r="C212" s="461"/>
      <c r="D212" s="461"/>
      <c r="E212" s="461"/>
      <c r="F212" s="224" t="str">
        <f>+IF(A212="","",VLOOKUP(A212,[46]MATERIALES!$B$7:$D$1222,2,FALSE))</f>
        <v>DIA</v>
      </c>
      <c r="G212" s="225">
        <f>+IF(A212="","",VLOOKUP(A212,[46]MATERIALES!$B$7:$E$1222,3,FALSE))</f>
        <v>120000</v>
      </c>
      <c r="H212" s="238">
        <f>IF(A212="","",IFERROR(1/H235,""))</f>
        <v>0.25</v>
      </c>
      <c r="I212" s="217">
        <f>IFERROR((ROUND(G212*H212,0)),"")</f>
        <v>30000</v>
      </c>
      <c r="J212" s="213"/>
      <c r="L212" s="241" t="e">
        <f>+L211+I219</f>
        <v>#REF!</v>
      </c>
    </row>
    <row r="213" spans="1:12" x14ac:dyDescent="0.25">
      <c r="A213" s="451"/>
      <c r="B213" s="451"/>
      <c r="C213" s="451"/>
      <c r="D213" s="451"/>
      <c r="E213" s="451"/>
      <c r="F213" s="224" t="str">
        <f>+IF(A213="","",VLOOKUP(A213,[46]MATERIALES!$B$7:$D$1222,2,FALSE))</f>
        <v/>
      </c>
      <c r="G213" s="225" t="str">
        <f>+IF(A213="","",VLOOKUP(A213,[46]MATERIALES!$B$7:$E$1222,3,FALSE))</f>
        <v/>
      </c>
      <c r="H213" s="238" t="str">
        <f>IF(A213="","",IFERROR(1/H236,""))</f>
        <v/>
      </c>
      <c r="I213" s="217" t="str">
        <f t="shared" ref="I213:I214" si="23">IFERROR(G213*H213,"")</f>
        <v/>
      </c>
      <c r="J213" s="213"/>
    </row>
    <row r="214" spans="1:12" x14ac:dyDescent="0.25">
      <c r="A214" s="451"/>
      <c r="B214" s="451"/>
      <c r="C214" s="451"/>
      <c r="D214" s="451"/>
      <c r="E214" s="451"/>
      <c r="F214" s="224" t="str">
        <f>+IF(A214="","",VLOOKUP(A214,[46]MATERIALES!$B$7:$D$1222,2,FALSE))</f>
        <v/>
      </c>
      <c r="G214" s="225" t="str">
        <f>+IF(A214="","",VLOOKUP(A214,[46]MATERIALES!$B$7:$E$1222,3,FALSE))</f>
        <v/>
      </c>
      <c r="H214" s="238" t="str">
        <f>IF(A214="","",IFERROR(1/H235,""))</f>
        <v/>
      </c>
      <c r="I214" s="217" t="str">
        <f t="shared" si="23"/>
        <v/>
      </c>
      <c r="J214" s="213"/>
    </row>
    <row r="215" spans="1:12" x14ac:dyDescent="0.25">
      <c r="A215" s="451"/>
      <c r="B215" s="451"/>
      <c r="C215" s="451"/>
      <c r="D215" s="451"/>
      <c r="E215" s="451"/>
      <c r="F215" s="214"/>
      <c r="G215" s="218"/>
      <c r="H215" s="216"/>
      <c r="I215" s="217"/>
      <c r="J215" s="219"/>
    </row>
    <row r="216" spans="1:12" x14ac:dyDescent="0.25">
      <c r="A216" s="437" t="s">
        <v>100</v>
      </c>
      <c r="B216" s="438"/>
      <c r="C216" s="438"/>
      <c r="D216" s="438"/>
      <c r="E216" s="438"/>
      <c r="F216" s="438"/>
      <c r="G216" s="438"/>
      <c r="H216" s="438"/>
      <c r="I216" s="439"/>
      <c r="J216" s="217">
        <f>+SUM(I211:I215)</f>
        <v>33264</v>
      </c>
    </row>
    <row r="217" spans="1:12" x14ac:dyDescent="0.25">
      <c r="A217" s="442" t="s">
        <v>101</v>
      </c>
      <c r="B217" s="442"/>
      <c r="C217" s="442"/>
      <c r="D217" s="442"/>
      <c r="E217" s="442"/>
      <c r="F217" s="442"/>
      <c r="G217" s="442"/>
      <c r="H217" s="442"/>
      <c r="I217" s="442"/>
      <c r="J217" s="442"/>
    </row>
    <row r="218" spans="1:12" x14ac:dyDescent="0.25">
      <c r="A218" s="452" t="s">
        <v>2</v>
      </c>
      <c r="B218" s="453"/>
      <c r="C218" s="453"/>
      <c r="D218" s="454"/>
      <c r="E218" s="223" t="s">
        <v>3</v>
      </c>
      <c r="F218" s="223" t="s">
        <v>102</v>
      </c>
      <c r="G218" s="223" t="s">
        <v>4</v>
      </c>
      <c r="H218" s="223" t="s">
        <v>103</v>
      </c>
      <c r="I218" s="223" t="s">
        <v>92</v>
      </c>
      <c r="J218" s="213"/>
    </row>
    <row r="219" spans="1:12" x14ac:dyDescent="0.25">
      <c r="A219" s="444" t="s">
        <v>122</v>
      </c>
      <c r="B219" s="445"/>
      <c r="C219" s="445"/>
      <c r="D219" s="445"/>
      <c r="E219" s="224" t="str">
        <f>+IF(A219="","",VLOOKUP(A219,[46]MATERIALES!$B$7:$D$225,2,FALSE))</f>
        <v>m3</v>
      </c>
      <c r="F219" s="225">
        <f>+IF(A219="","",VLOOKUP(A219,[46]MATERIALES!$B$7:$E$225,3,FALSE))</f>
        <v>80000</v>
      </c>
      <c r="G219" s="226">
        <v>1</v>
      </c>
      <c r="H219" s="227">
        <v>0.05</v>
      </c>
      <c r="I219" s="228">
        <f t="shared" ref="I219:I223" si="24">IFERROR((ROUND((F219*G219*(1+H219)),0)),"")</f>
        <v>84000</v>
      </c>
      <c r="J219" s="213"/>
      <c r="L219" s="192">
        <f>0.0254*2</f>
        <v>5.0799999999999998E-2</v>
      </c>
    </row>
    <row r="220" spans="1:12" x14ac:dyDescent="0.25">
      <c r="A220" s="444"/>
      <c r="B220" s="445"/>
      <c r="C220" s="445"/>
      <c r="D220" s="445"/>
      <c r="E220" s="224" t="str">
        <f>+IF(A220="","",VLOOKUP(A220,[46]MATERIALES!$B$7:$D$225,2,FALSE))</f>
        <v/>
      </c>
      <c r="F220" s="225" t="str">
        <f>+IF(A220="","",VLOOKUP(A220,[46]MATERIALES!$B$7:$E$225,3,FALSE))</f>
        <v/>
      </c>
      <c r="G220" s="226"/>
      <c r="H220" s="227"/>
      <c r="I220" s="228" t="str">
        <f t="shared" si="24"/>
        <v/>
      </c>
      <c r="J220" s="213"/>
      <c r="L220" s="192">
        <f>3.1416*L219</f>
        <v>0.15959328</v>
      </c>
    </row>
    <row r="221" spans="1:12" x14ac:dyDescent="0.25">
      <c r="A221" s="444"/>
      <c r="B221" s="445"/>
      <c r="C221" s="445"/>
      <c r="D221" s="445"/>
      <c r="E221" s="224" t="str">
        <f>+IF(A221="","",VLOOKUP(A221,[46]MATERIALES!$B$7:$D$225,2,FALSE))</f>
        <v/>
      </c>
      <c r="F221" s="225" t="str">
        <f>+IF(A221="","",VLOOKUP(A221,[46]MATERIALES!$B$7:$E$225,3,FALSE))</f>
        <v/>
      </c>
      <c r="G221" s="238"/>
      <c r="H221" s="227"/>
      <c r="I221" s="228" t="str">
        <f t="shared" si="24"/>
        <v/>
      </c>
      <c r="J221" s="213"/>
    </row>
    <row r="222" spans="1:12" x14ac:dyDescent="0.25">
      <c r="A222" s="444"/>
      <c r="B222" s="445"/>
      <c r="C222" s="445"/>
      <c r="D222" s="445"/>
      <c r="E222" s="224" t="str">
        <f>+IF(A222="","",VLOOKUP(A222,[46]MATERIALES!$B$7:$D$225,2,FALSE))</f>
        <v/>
      </c>
      <c r="F222" s="225" t="str">
        <f>+IF(A222="","",VLOOKUP(A222,[46]MATERIALES!$B$7:$E$225,3,FALSE))</f>
        <v/>
      </c>
      <c r="G222" s="238"/>
      <c r="H222" s="227"/>
      <c r="I222" s="228" t="str">
        <f t="shared" si="24"/>
        <v/>
      </c>
      <c r="J222" s="213"/>
    </row>
    <row r="223" spans="1:12" x14ac:dyDescent="0.25">
      <c r="A223" s="444"/>
      <c r="B223" s="445"/>
      <c r="C223" s="445"/>
      <c r="D223" s="445"/>
      <c r="E223" s="224" t="str">
        <f>+IF(A223="","",VLOOKUP(A223,[46]MATERIALES!$B$7:$D$225,2,FALSE))</f>
        <v/>
      </c>
      <c r="F223" s="225" t="str">
        <f>+IF(A223="","",VLOOKUP(A223,[46]MATERIALES!$B$7:$E$225,3,FALSE))</f>
        <v/>
      </c>
      <c r="G223" s="238"/>
      <c r="H223" s="227"/>
      <c r="I223" s="228" t="str">
        <f t="shared" si="24"/>
        <v/>
      </c>
      <c r="J223" s="213"/>
    </row>
    <row r="224" spans="1:12" x14ac:dyDescent="0.25">
      <c r="A224" s="444"/>
      <c r="B224" s="445"/>
      <c r="C224" s="445"/>
      <c r="D224" s="445"/>
      <c r="E224" s="224"/>
      <c r="F224" s="214"/>
      <c r="G224" s="218"/>
      <c r="H224" s="216"/>
      <c r="I224" s="217">
        <f t="shared" ref="I224" si="25">IFERROR(G224*H224,"")</f>
        <v>0</v>
      </c>
      <c r="J224" s="213"/>
    </row>
    <row r="225" spans="1:10" x14ac:dyDescent="0.25">
      <c r="A225" s="437" t="s">
        <v>100</v>
      </c>
      <c r="B225" s="438"/>
      <c r="C225" s="438"/>
      <c r="D225" s="438"/>
      <c r="E225" s="438"/>
      <c r="F225" s="438"/>
      <c r="G225" s="438"/>
      <c r="H225" s="438"/>
      <c r="I225" s="439"/>
      <c r="J225" s="217">
        <f>SUM(I219:I224)</f>
        <v>84000</v>
      </c>
    </row>
    <row r="226" spans="1:10" x14ac:dyDescent="0.25">
      <c r="A226" s="442" t="s">
        <v>106</v>
      </c>
      <c r="B226" s="442"/>
      <c r="C226" s="442"/>
      <c r="D226" s="442"/>
      <c r="E226" s="442"/>
      <c r="F226" s="442"/>
      <c r="G226" s="442"/>
      <c r="H226" s="442"/>
      <c r="I226" s="442"/>
      <c r="J226" s="442"/>
    </row>
    <row r="227" spans="1:10" ht="22.5" x14ac:dyDescent="0.25">
      <c r="A227" s="443" t="s">
        <v>107</v>
      </c>
      <c r="B227" s="443"/>
      <c r="C227" s="443"/>
      <c r="D227" s="443"/>
      <c r="E227" s="223" t="s">
        <v>108</v>
      </c>
      <c r="F227" s="230" t="s">
        <v>109</v>
      </c>
      <c r="G227" s="223" t="s">
        <v>110</v>
      </c>
      <c r="H227" s="223" t="s">
        <v>111</v>
      </c>
      <c r="I227" s="223" t="s">
        <v>92</v>
      </c>
      <c r="J227" s="213"/>
    </row>
    <row r="228" spans="1:10" ht="23.45" customHeight="1" x14ac:dyDescent="0.25">
      <c r="A228" s="472"/>
      <c r="B228" s="473"/>
      <c r="C228" s="473"/>
      <c r="D228" s="474"/>
      <c r="E228" s="216" t="str">
        <f>+IF(A228="","",VLOOKUP(A228,[46]MATERIALES!$B$7:$E$1222,2,FALSE))</f>
        <v/>
      </c>
      <c r="F228" s="224"/>
      <c r="G228" s="231" t="str">
        <f>+IF(A228="","",VLOOKUP(A228,[46]MATERIALES!$B$7:$E$1222,4,FALSE))</f>
        <v/>
      </c>
      <c r="H228" s="216" t="str">
        <f>+IF(A228="","",VLOOKUP(A228,[46]MATERIALES!$B$7:$E$1222,3,FALSE))</f>
        <v/>
      </c>
      <c r="I228" s="228" t="str">
        <f>IFERROR((ROUND(G228*H228*F228,0)),"")</f>
        <v/>
      </c>
      <c r="J228" s="213"/>
    </row>
    <row r="229" spans="1:10" x14ac:dyDescent="0.25">
      <c r="A229" s="472"/>
      <c r="B229" s="473"/>
      <c r="C229" s="473"/>
      <c r="D229" s="474"/>
      <c r="E229" s="216" t="str">
        <f>+IF(A229="","",VLOOKUP(A229,[46]MATERIALES!$B$7:$E$1222,2,FALSE))</f>
        <v/>
      </c>
      <c r="F229" s="224"/>
      <c r="G229" s="231" t="str">
        <f>+IF(A229="","",VLOOKUP(A229,[46]MATERIALES!$B$7:$E$1222,4,FALSE))</f>
        <v/>
      </c>
      <c r="H229" s="216" t="str">
        <f>+IF(A229="","",VLOOKUP(A229,[46]MATERIALES!$B$7:$E$1222,3,FALSE))</f>
        <v/>
      </c>
      <c r="I229" s="228" t="str">
        <f>IFERROR((ROUND(G229*H229*F229,0)),"")</f>
        <v/>
      </c>
      <c r="J229" s="213"/>
    </row>
    <row r="230" spans="1:10" x14ac:dyDescent="0.25">
      <c r="A230" s="447"/>
      <c r="B230" s="447"/>
      <c r="C230" s="447"/>
      <c r="D230" s="447"/>
      <c r="E230" s="213"/>
      <c r="F230" s="214"/>
      <c r="G230" s="233"/>
      <c r="H230" s="216"/>
      <c r="I230" s="219"/>
      <c r="J230" s="213"/>
    </row>
    <row r="231" spans="1:10" x14ac:dyDescent="0.25">
      <c r="A231" s="447"/>
      <c r="B231" s="447"/>
      <c r="C231" s="447"/>
      <c r="D231" s="447"/>
      <c r="E231" s="213"/>
      <c r="F231" s="213"/>
      <c r="G231" s="213"/>
      <c r="H231" s="211"/>
      <c r="I231" s="213"/>
      <c r="J231" s="213"/>
    </row>
    <row r="232" spans="1:10" x14ac:dyDescent="0.25">
      <c r="A232" s="437" t="s">
        <v>100</v>
      </c>
      <c r="B232" s="438"/>
      <c r="C232" s="438"/>
      <c r="D232" s="438"/>
      <c r="E232" s="438"/>
      <c r="F232" s="438"/>
      <c r="G232" s="438"/>
      <c r="H232" s="438"/>
      <c r="I232" s="439"/>
      <c r="J232" s="217">
        <f>SUM(I228:I231)</f>
        <v>0</v>
      </c>
    </row>
    <row r="233" spans="1:10" x14ac:dyDescent="0.25">
      <c r="A233" s="442" t="s">
        <v>112</v>
      </c>
      <c r="B233" s="442"/>
      <c r="C233" s="442"/>
      <c r="D233" s="442"/>
      <c r="E233" s="442"/>
      <c r="F233" s="442"/>
      <c r="G233" s="442"/>
      <c r="H233" s="442"/>
      <c r="I233" s="442"/>
      <c r="J233" s="442"/>
    </row>
    <row r="234" spans="1:10" x14ac:dyDescent="0.25">
      <c r="A234" s="443" t="s">
        <v>113</v>
      </c>
      <c r="B234" s="443"/>
      <c r="C234" s="443"/>
      <c r="D234" s="443"/>
      <c r="E234" s="223" t="s">
        <v>114</v>
      </c>
      <c r="F234" s="223" t="s">
        <v>115</v>
      </c>
      <c r="G234" s="234" t="s">
        <v>116</v>
      </c>
      <c r="H234" s="223" t="s">
        <v>91</v>
      </c>
      <c r="I234" s="223" t="s">
        <v>92</v>
      </c>
      <c r="J234" s="213"/>
    </row>
    <row r="235" spans="1:10" x14ac:dyDescent="0.25">
      <c r="A235" s="444" t="s">
        <v>97</v>
      </c>
      <c r="B235" s="445"/>
      <c r="C235" s="446"/>
      <c r="D235" s="211">
        <v>1</v>
      </c>
      <c r="E235" s="235">
        <f>+IF(D235="","",VLOOKUP(A235,$L$4:$O$10,3,FALSE))</f>
        <v>101567</v>
      </c>
      <c r="F235" s="236">
        <f>+IF(D235="","",(VLOOKUP(A235,$L$4:$O$10,4,FALSE))+1)</f>
        <v>1.6519796512835072</v>
      </c>
      <c r="G235" s="219">
        <f t="shared" ref="G235:G237" si="26">+IFERROR(F235*E235*D235,"")</f>
        <v>167786.61724191197</v>
      </c>
      <c r="H235" s="216">
        <v>4</v>
      </c>
      <c r="I235" s="228">
        <f t="shared" ref="I235:I237" si="27">+IFERROR((ROUND(G235/H235,0)),"")</f>
        <v>41947</v>
      </c>
      <c r="J235" s="213"/>
    </row>
    <row r="236" spans="1:10" ht="13.35" customHeight="1" x14ac:dyDescent="0.25">
      <c r="A236" s="444" t="s">
        <v>86</v>
      </c>
      <c r="B236" s="445"/>
      <c r="C236" s="446"/>
      <c r="D236" s="211">
        <v>1</v>
      </c>
      <c r="E236" s="235">
        <f>+IF(D236="","",VLOOKUP(A236,$L$4:$O$10,3,FALSE))</f>
        <v>54117</v>
      </c>
      <c r="F236" s="236">
        <f>+IF(D236="","",(VLOOKUP(A236,$L$4:$O$10,4,FALSE))+1)</f>
        <v>1.7246636834087141</v>
      </c>
      <c r="G236" s="219">
        <f t="shared" si="26"/>
        <v>93333.624555029382</v>
      </c>
      <c r="H236" s="216">
        <f>+H235</f>
        <v>4</v>
      </c>
      <c r="I236" s="228">
        <f t="shared" si="27"/>
        <v>23333</v>
      </c>
      <c r="J236" s="213"/>
    </row>
    <row r="237" spans="1:10" ht="13.35" customHeight="1" x14ac:dyDescent="0.25">
      <c r="A237" s="444"/>
      <c r="B237" s="445"/>
      <c r="C237" s="446"/>
      <c r="D237" s="211"/>
      <c r="E237" s="235" t="str">
        <f>+IF(D237="","",VLOOKUP(A237,$L$4:$O$10,3,FALSE))</f>
        <v/>
      </c>
      <c r="F237" s="236" t="str">
        <f>+IF(D237="","",(VLOOKUP(A237,$L$4:$O$10,4,FALSE))+1)</f>
        <v/>
      </c>
      <c r="G237" s="219" t="str">
        <f t="shared" si="26"/>
        <v/>
      </c>
      <c r="H237" s="216"/>
      <c r="I237" s="228" t="str">
        <f t="shared" si="27"/>
        <v/>
      </c>
      <c r="J237" s="213"/>
    </row>
    <row r="238" spans="1:10" x14ac:dyDescent="0.25">
      <c r="A238" s="444"/>
      <c r="B238" s="445"/>
      <c r="C238" s="446"/>
      <c r="D238" s="213"/>
      <c r="E238" s="213"/>
      <c r="F238" s="213"/>
      <c r="G238" s="213"/>
      <c r="H238" s="211"/>
      <c r="I238" s="217"/>
      <c r="J238" s="213"/>
    </row>
    <row r="239" spans="1:10" ht="14.45" customHeight="1" x14ac:dyDescent="0.25">
      <c r="A239" s="437" t="s">
        <v>100</v>
      </c>
      <c r="B239" s="438"/>
      <c r="C239" s="438"/>
      <c r="D239" s="438"/>
      <c r="E239" s="438"/>
      <c r="F239" s="438"/>
      <c r="G239" s="438"/>
      <c r="H239" s="438"/>
      <c r="I239" s="439"/>
      <c r="J239" s="217">
        <f>SUM(I235:I238)</f>
        <v>65280</v>
      </c>
    </row>
    <row r="240" spans="1:10" ht="13.35" customHeight="1" x14ac:dyDescent="0.25">
      <c r="A240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240" s="462"/>
      <c r="C240" s="462"/>
      <c r="D240" s="462"/>
      <c r="E240" s="462"/>
      <c r="F240" s="462"/>
      <c r="G240" s="462"/>
      <c r="H240" s="462"/>
      <c r="I240" s="462"/>
      <c r="J240" s="462"/>
    </row>
    <row r="241" spans="1:12" ht="36" customHeight="1" x14ac:dyDescent="0.25">
      <c r="A241" s="463"/>
      <c r="B241" s="463"/>
      <c r="C241" s="463"/>
      <c r="D241" s="463"/>
      <c r="E241" s="462"/>
      <c r="F241" s="462"/>
      <c r="G241" s="462"/>
      <c r="H241" s="462"/>
      <c r="I241" s="462"/>
      <c r="J241" s="462"/>
    </row>
    <row r="242" spans="1:12" ht="19.149999999999999" customHeight="1" x14ac:dyDescent="0.25">
      <c r="A242" s="196" t="s">
        <v>78</v>
      </c>
      <c r="B242" s="464" t="s">
        <v>79</v>
      </c>
      <c r="C242" s="464"/>
      <c r="D242" s="464"/>
      <c r="E242" s="464"/>
      <c r="F242" s="464"/>
      <c r="G242" s="464"/>
      <c r="H242" s="464"/>
      <c r="I242" s="197" t="s">
        <v>80</v>
      </c>
      <c r="J242" s="198" t="s">
        <v>81</v>
      </c>
    </row>
    <row r="243" spans="1:12" ht="32.65" customHeight="1" x14ac:dyDescent="0.25">
      <c r="A243" s="203">
        <v>4.01</v>
      </c>
      <c r="B243" s="465" t="str">
        <f>+VLOOKUP(A243,[46]PTO!$B$4:$D$28,2,FALSE)</f>
        <v>Construcción de filtros verticales (chimeneas para el control y evacuación de gases 0.40*0.40*3.00). Incluye canastillas, material friltrante y tuberia de 4" y demas elementos para su instalacion y puesta en funcionamiento</v>
      </c>
      <c r="C243" s="466"/>
      <c r="D243" s="466"/>
      <c r="E243" s="466"/>
      <c r="F243" s="466"/>
      <c r="G243" s="466"/>
      <c r="H243" s="467"/>
      <c r="I243" s="204" t="str">
        <f>+VLOOKUP(A243,[46]PTO!$B$4:$D$28,3,FALSE)</f>
        <v>UN</v>
      </c>
      <c r="J243" s="205">
        <f>+ROUND(SUM(J251:J275),0)</f>
        <v>307644</v>
      </c>
      <c r="L243" s="232" t="e">
        <f>+VLOOKUP(A243,[46]PTO!$B$5:$E$385,5,FALSE)</f>
        <v>#REF!</v>
      </c>
    </row>
    <row r="244" spans="1:12" x14ac:dyDescent="0.25">
      <c r="A244" s="459" t="s">
        <v>87</v>
      </c>
      <c r="B244" s="459"/>
      <c r="C244" s="459"/>
      <c r="D244" s="459"/>
      <c r="E244" s="459"/>
      <c r="F244" s="459"/>
      <c r="G244" s="459"/>
      <c r="H244" s="459"/>
      <c r="I244" s="442"/>
      <c r="J244" s="442"/>
    </row>
    <row r="245" spans="1:12" x14ac:dyDescent="0.25">
      <c r="A245" s="460" t="s">
        <v>2</v>
      </c>
      <c r="B245" s="460"/>
      <c r="C245" s="460"/>
      <c r="D245" s="460"/>
      <c r="E245" s="460"/>
      <c r="F245" s="223" t="s">
        <v>89</v>
      </c>
      <c r="G245" s="234" t="s">
        <v>90</v>
      </c>
      <c r="H245" s="223" t="s">
        <v>91</v>
      </c>
      <c r="I245" s="223" t="s">
        <v>92</v>
      </c>
      <c r="J245" s="213"/>
    </row>
    <row r="246" spans="1:12" x14ac:dyDescent="0.25">
      <c r="A246" s="451" t="s">
        <v>95</v>
      </c>
      <c r="B246" s="451"/>
      <c r="C246" s="451"/>
      <c r="D246" s="451"/>
      <c r="E246" s="451"/>
      <c r="F246" s="214"/>
      <c r="G246" s="215">
        <v>0.05</v>
      </c>
      <c r="H246" s="216"/>
      <c r="I246" s="217">
        <f>ROUND(J275*G246,0)</f>
        <v>7483</v>
      </c>
      <c r="J246" s="213"/>
    </row>
    <row r="247" spans="1:12" x14ac:dyDescent="0.25">
      <c r="A247" s="461"/>
      <c r="B247" s="461"/>
      <c r="C247" s="461"/>
      <c r="D247" s="461"/>
      <c r="E247" s="461"/>
      <c r="F247" s="224"/>
      <c r="G247" s="225"/>
      <c r="H247" s="238"/>
      <c r="I247" s="217"/>
      <c r="J247" s="213"/>
    </row>
    <row r="248" spans="1:12" x14ac:dyDescent="0.25">
      <c r="A248" s="451"/>
      <c r="B248" s="451"/>
      <c r="C248" s="451"/>
      <c r="D248" s="451"/>
      <c r="E248" s="451"/>
      <c r="F248" s="224" t="str">
        <f>+IF(A248="","",VLOOKUP(A248,[46]MATERIALES!$B$7:$D$1222,2,FALSE))</f>
        <v/>
      </c>
      <c r="G248" s="225" t="str">
        <f>+IF(A248="","",VLOOKUP(A248,[46]MATERIALES!$B$7:$E$1222,3,FALSE))</f>
        <v/>
      </c>
      <c r="H248" s="238" t="str">
        <f>IF(A248="","",IFERROR(1/H271,""))</f>
        <v/>
      </c>
      <c r="I248" s="217" t="str">
        <f t="shared" ref="I248:I249" si="28">IFERROR(G248*H248,"")</f>
        <v/>
      </c>
      <c r="J248" s="213"/>
    </row>
    <row r="249" spans="1:12" x14ac:dyDescent="0.25">
      <c r="A249" s="451"/>
      <c r="B249" s="451"/>
      <c r="C249" s="451"/>
      <c r="D249" s="451"/>
      <c r="E249" s="451"/>
      <c r="F249" s="224" t="str">
        <f>+IF(A249="","",VLOOKUP(A249,[46]MATERIALES!$B$7:$D$1222,2,FALSE))</f>
        <v/>
      </c>
      <c r="G249" s="225" t="str">
        <f>+IF(A249="","",VLOOKUP(A249,[46]MATERIALES!$B$7:$E$1222,3,FALSE))</f>
        <v/>
      </c>
      <c r="H249" s="238" t="str">
        <f>IF(A249="","",IFERROR(1/H271,""))</f>
        <v/>
      </c>
      <c r="I249" s="217" t="str">
        <f t="shared" si="28"/>
        <v/>
      </c>
      <c r="J249" s="213"/>
    </row>
    <row r="250" spans="1:12" x14ac:dyDescent="0.25">
      <c r="A250" s="451"/>
      <c r="B250" s="451"/>
      <c r="C250" s="451"/>
      <c r="D250" s="451"/>
      <c r="E250" s="451"/>
      <c r="F250" s="214"/>
      <c r="G250" s="218"/>
      <c r="H250" s="216"/>
      <c r="I250" s="217"/>
      <c r="J250" s="219"/>
    </row>
    <row r="251" spans="1:12" x14ac:dyDescent="0.25">
      <c r="A251" s="437" t="s">
        <v>100</v>
      </c>
      <c r="B251" s="438"/>
      <c r="C251" s="438"/>
      <c r="D251" s="438"/>
      <c r="E251" s="438"/>
      <c r="F251" s="438"/>
      <c r="G251" s="438"/>
      <c r="H251" s="438"/>
      <c r="I251" s="439"/>
      <c r="J251" s="217">
        <f>+SUM(I246:I250)</f>
        <v>7483</v>
      </c>
    </row>
    <row r="252" spans="1:12" x14ac:dyDescent="0.25">
      <c r="A252" s="442" t="s">
        <v>101</v>
      </c>
      <c r="B252" s="442"/>
      <c r="C252" s="442"/>
      <c r="D252" s="442"/>
      <c r="E252" s="442"/>
      <c r="F252" s="442"/>
      <c r="G252" s="442"/>
      <c r="H252" s="442"/>
      <c r="I252" s="442"/>
      <c r="J252" s="442"/>
    </row>
    <row r="253" spans="1:12" x14ac:dyDescent="0.25">
      <c r="A253" s="452" t="s">
        <v>2</v>
      </c>
      <c r="B253" s="453"/>
      <c r="C253" s="453"/>
      <c r="D253" s="454"/>
      <c r="E253" s="223" t="s">
        <v>3</v>
      </c>
      <c r="F253" s="223" t="s">
        <v>102</v>
      </c>
      <c r="G253" s="223" t="s">
        <v>4</v>
      </c>
      <c r="H253" s="223" t="s">
        <v>103</v>
      </c>
      <c r="I253" s="223" t="s">
        <v>92</v>
      </c>
      <c r="J253" s="213"/>
    </row>
    <row r="254" spans="1:12" ht="12.95" customHeight="1" x14ac:dyDescent="0.25">
      <c r="A254" s="444" t="s">
        <v>122</v>
      </c>
      <c r="B254" s="445"/>
      <c r="C254" s="445"/>
      <c r="D254" s="445"/>
      <c r="E254" s="224" t="str">
        <f>+IF(A254="","",VLOOKUP(A254,[46]MATERIALES!$B$7:$D$225,2,FALSE))</f>
        <v>m3</v>
      </c>
      <c r="F254" s="225">
        <f>+IF(A254="","",VLOOKUP(A254,[46]MATERIALES!$B$7:$E$225,3,FALSE))</f>
        <v>80000</v>
      </c>
      <c r="G254" s="226">
        <v>1</v>
      </c>
      <c r="H254" s="227">
        <v>0.05</v>
      </c>
      <c r="I254" s="228">
        <f t="shared" ref="I254" si="29">IFERROR((ROUND((F254*G254*(1+H254)),0)),"")</f>
        <v>84000</v>
      </c>
      <c r="J254" s="213"/>
    </row>
    <row r="255" spans="1:12" x14ac:dyDescent="0.25">
      <c r="A255" s="448" t="s">
        <v>123</v>
      </c>
      <c r="B255" s="449"/>
      <c r="C255" s="449"/>
      <c r="D255" s="449"/>
      <c r="E255" s="224" t="str">
        <f>+IF(A255="","",VLOOKUP(A255,[46]MATERIALES!$B$7:$D$225,2,FALSE))</f>
        <v>m</v>
      </c>
      <c r="F255" s="225">
        <f>+IF(A255="","",VLOOKUP(A255,[46]MATERIALES!$B$7:$E$225,3,FALSE))</f>
        <v>5400</v>
      </c>
      <c r="G255" s="238">
        <v>10</v>
      </c>
      <c r="H255" s="227">
        <v>0.05</v>
      </c>
      <c r="I255" s="217">
        <f>IFERROR(F255*G255*(1+H255),"")</f>
        <v>56700</v>
      </c>
      <c r="J255" s="213"/>
    </row>
    <row r="256" spans="1:12" x14ac:dyDescent="0.25">
      <c r="A256" s="448" t="s">
        <v>124</v>
      </c>
      <c r="B256" s="449"/>
      <c r="C256" s="449"/>
      <c r="D256" s="449"/>
      <c r="E256" s="224" t="str">
        <f>+IF(A256="","",VLOOKUP(A256,[46]MATERIALES!$B$7:$D$225,2,FALSE))</f>
        <v>Rollo</v>
      </c>
      <c r="F256" s="225">
        <f>+IF(A256="","",VLOOKUP(A256,[46]MATERIALES!$B$7:$E$225,3,FALSE))</f>
        <v>9000</v>
      </c>
      <c r="G256" s="238">
        <v>0.05</v>
      </c>
      <c r="H256" s="227"/>
      <c r="I256" s="217">
        <f t="shared" ref="I256:I259" si="30">IFERROR(F256*G256*(1+H256),"")</f>
        <v>450</v>
      </c>
      <c r="J256" s="213"/>
    </row>
    <row r="257" spans="1:10" x14ac:dyDescent="0.25">
      <c r="A257" s="444"/>
      <c r="B257" s="445"/>
      <c r="C257" s="445"/>
      <c r="D257" s="445"/>
      <c r="E257" s="224" t="str">
        <f>+IF(A257="","",VLOOKUP(A257,[46]MATERIALES!$B$7:$D$225,2,FALSE))</f>
        <v/>
      </c>
      <c r="F257" s="225" t="str">
        <f>+IF(A257="","",VLOOKUP(A257,[46]MATERIALES!$B$7:$E$225,3,FALSE))</f>
        <v/>
      </c>
      <c r="G257" s="226"/>
      <c r="H257" s="227"/>
      <c r="I257" s="217" t="str">
        <f t="shared" si="30"/>
        <v/>
      </c>
      <c r="J257" s="213"/>
    </row>
    <row r="258" spans="1:10" x14ac:dyDescent="0.25">
      <c r="A258" s="444"/>
      <c r="B258" s="445"/>
      <c r="C258" s="445"/>
      <c r="D258" s="445"/>
      <c r="E258" s="224" t="str">
        <f>+IF(A258="","",VLOOKUP(A258,[46]MATERIALES!$B$7:$D$225,2,FALSE))</f>
        <v/>
      </c>
      <c r="F258" s="225" t="str">
        <f>+IF(A258="","",VLOOKUP(A258,[46]MATERIALES!$B$7:$E$225,3,FALSE))</f>
        <v/>
      </c>
      <c r="G258" s="226"/>
      <c r="H258" s="227"/>
      <c r="I258" s="217" t="str">
        <f t="shared" si="30"/>
        <v/>
      </c>
      <c r="J258" s="213"/>
    </row>
    <row r="259" spans="1:10" x14ac:dyDescent="0.25">
      <c r="A259" s="444"/>
      <c r="B259" s="445"/>
      <c r="C259" s="445"/>
      <c r="D259" s="445"/>
      <c r="E259" s="224" t="str">
        <f>+IF(A259="","",VLOOKUP(A259,[46]MATERIALES!$B$7:$D$225,2,FALSE))</f>
        <v/>
      </c>
      <c r="F259" s="225" t="str">
        <f>+IF(A259="","",VLOOKUP(A259,[46]MATERIALES!$B$7:$E$225,3,FALSE))</f>
        <v/>
      </c>
      <c r="G259" s="226"/>
      <c r="H259" s="227"/>
      <c r="I259" s="217" t="str">
        <f t="shared" si="30"/>
        <v/>
      </c>
      <c r="J259" s="213"/>
    </row>
    <row r="260" spans="1:10" x14ac:dyDescent="0.25">
      <c r="A260" s="444"/>
      <c r="B260" s="445"/>
      <c r="C260" s="445"/>
      <c r="D260" s="445"/>
      <c r="E260" s="213"/>
      <c r="F260" s="214"/>
      <c r="G260" s="218"/>
      <c r="H260" s="227"/>
      <c r="I260" s="217">
        <f>IFERROR(F260*G260*(1+H260),"")</f>
        <v>0</v>
      </c>
      <c r="J260" s="213"/>
    </row>
    <row r="261" spans="1:10" x14ac:dyDescent="0.25">
      <c r="A261" s="437" t="s">
        <v>100</v>
      </c>
      <c r="B261" s="438"/>
      <c r="C261" s="438"/>
      <c r="D261" s="438"/>
      <c r="E261" s="438"/>
      <c r="F261" s="438"/>
      <c r="G261" s="438"/>
      <c r="H261" s="438"/>
      <c r="I261" s="439"/>
      <c r="J261" s="217">
        <f>SUM(I254:I260)</f>
        <v>141150</v>
      </c>
    </row>
    <row r="262" spans="1:10" x14ac:dyDescent="0.25">
      <c r="A262" s="442" t="s">
        <v>106</v>
      </c>
      <c r="B262" s="442"/>
      <c r="C262" s="442"/>
      <c r="D262" s="442"/>
      <c r="E262" s="442"/>
      <c r="F262" s="442"/>
      <c r="G262" s="442"/>
      <c r="H262" s="442"/>
      <c r="I262" s="442"/>
      <c r="J262" s="442"/>
    </row>
    <row r="263" spans="1:10" ht="22.5" x14ac:dyDescent="0.25">
      <c r="A263" s="443" t="s">
        <v>107</v>
      </c>
      <c r="B263" s="443"/>
      <c r="C263" s="443"/>
      <c r="D263" s="443"/>
      <c r="E263" s="223" t="s">
        <v>108</v>
      </c>
      <c r="F263" s="230" t="s">
        <v>109</v>
      </c>
      <c r="G263" s="223" t="s">
        <v>110</v>
      </c>
      <c r="H263" s="223" t="s">
        <v>111</v>
      </c>
      <c r="I263" s="223" t="s">
        <v>92</v>
      </c>
      <c r="J263" s="213"/>
    </row>
    <row r="264" spans="1:10" ht="22.7" customHeight="1" x14ac:dyDescent="0.25">
      <c r="A264" s="447" t="s">
        <v>118</v>
      </c>
      <c r="B264" s="447"/>
      <c r="C264" s="447"/>
      <c r="D264" s="447"/>
      <c r="E264" s="216" t="str">
        <f>+IF(A264="","",VLOOKUP(A264,[46]MATERIALES!$B$7:$E$1222,2,FALSE))</f>
        <v>M3</v>
      </c>
      <c r="F264" s="224">
        <f>0.4*0.4*3*1.3</f>
        <v>0.62400000000000011</v>
      </c>
      <c r="G264" s="231">
        <f>+IF(A264="","",VLOOKUP(A264,[46]MATERIALES!$B$7:$E$1222,4,FALSE))</f>
        <v>5</v>
      </c>
      <c r="H264" s="216">
        <f>+IF(A264="","",VLOOKUP(A264,[46]MATERIALES!$B$7:$E$1222,3,FALSE))</f>
        <v>3000</v>
      </c>
      <c r="I264" s="217">
        <f>IFERROR(G264*H264*F264,"")</f>
        <v>9360.0000000000018</v>
      </c>
      <c r="J264" s="213"/>
    </row>
    <row r="265" spans="1:10" x14ac:dyDescent="0.25">
      <c r="A265" s="447"/>
      <c r="B265" s="447"/>
      <c r="C265" s="447"/>
      <c r="D265" s="447"/>
      <c r="E265" s="216" t="str">
        <f>+IF(A265="","",VLOOKUP(A265,[46]MATERIALES!$B$7:$E$1222,2,FALSE))</f>
        <v/>
      </c>
      <c r="F265" s="224"/>
      <c r="G265" s="231" t="str">
        <f>+IF(A265="","",VLOOKUP(A265,[46]MATERIALES!$B$7:$E$1222,4,FALSE))</f>
        <v/>
      </c>
      <c r="H265" s="216" t="str">
        <f>+IF(A265="","",VLOOKUP(A265,[46]MATERIALES!$B$7:$E$1222,3,FALSE))</f>
        <v/>
      </c>
      <c r="I265" s="217" t="str">
        <f>IFERROR(G265*H265*F265,"")</f>
        <v/>
      </c>
      <c r="J265" s="213"/>
    </row>
    <row r="266" spans="1:10" x14ac:dyDescent="0.25">
      <c r="A266" s="447"/>
      <c r="B266" s="447"/>
      <c r="C266" s="447"/>
      <c r="D266" s="447"/>
      <c r="E266" s="213"/>
      <c r="F266" s="214"/>
      <c r="G266" s="233"/>
      <c r="H266" s="216"/>
      <c r="I266" s="219"/>
      <c r="J266" s="213"/>
    </row>
    <row r="267" spans="1:10" x14ac:dyDescent="0.25">
      <c r="A267" s="447"/>
      <c r="B267" s="447"/>
      <c r="C267" s="447"/>
      <c r="D267" s="447"/>
      <c r="E267" s="213"/>
      <c r="F267" s="213"/>
      <c r="G267" s="213"/>
      <c r="H267" s="211"/>
      <c r="I267" s="213"/>
      <c r="J267" s="213"/>
    </row>
    <row r="268" spans="1:10" x14ac:dyDescent="0.25">
      <c r="A268" s="437" t="s">
        <v>100</v>
      </c>
      <c r="B268" s="438"/>
      <c r="C268" s="438"/>
      <c r="D268" s="438"/>
      <c r="E268" s="438"/>
      <c r="F268" s="438"/>
      <c r="G268" s="438"/>
      <c r="H268" s="438"/>
      <c r="I268" s="439"/>
      <c r="J268" s="217">
        <f>SUM(I264:I267)</f>
        <v>9360.0000000000018</v>
      </c>
    </row>
    <row r="269" spans="1:10" x14ac:dyDescent="0.25">
      <c r="A269" s="442" t="s">
        <v>112</v>
      </c>
      <c r="B269" s="442"/>
      <c r="C269" s="442"/>
      <c r="D269" s="442"/>
      <c r="E269" s="442"/>
      <c r="F269" s="442"/>
      <c r="G269" s="442"/>
      <c r="H269" s="442"/>
      <c r="I269" s="442"/>
      <c r="J269" s="442"/>
    </row>
    <row r="270" spans="1:10" x14ac:dyDescent="0.25">
      <c r="A270" s="443" t="s">
        <v>113</v>
      </c>
      <c r="B270" s="443"/>
      <c r="C270" s="443"/>
      <c r="D270" s="443"/>
      <c r="E270" s="223" t="s">
        <v>114</v>
      </c>
      <c r="F270" s="223" t="s">
        <v>115</v>
      </c>
      <c r="G270" s="234" t="s">
        <v>116</v>
      </c>
      <c r="H270" s="223" t="s">
        <v>91</v>
      </c>
      <c r="I270" s="223" t="s">
        <v>92</v>
      </c>
      <c r="J270" s="213"/>
    </row>
    <row r="271" spans="1:10" x14ac:dyDescent="0.25">
      <c r="A271" s="444" t="s">
        <v>99</v>
      </c>
      <c r="B271" s="445"/>
      <c r="C271" s="446"/>
      <c r="D271" s="211">
        <v>1</v>
      </c>
      <c r="E271" s="235">
        <f>+IF(D271="","",VLOOKUP(A271,$L$4:$O$10,3,FALSE))</f>
        <v>142350</v>
      </c>
      <c r="F271" s="236">
        <f>+IF(D271="","",(VLOOKUP(A271,$L$4:$O$10,4,FALSE))+1)</f>
        <v>1.5821008628015805</v>
      </c>
      <c r="G271" s="219">
        <f>+IFERROR(F271*E271*D271,"")</f>
        <v>225212.05781980499</v>
      </c>
      <c r="H271" s="216">
        <v>3</v>
      </c>
      <c r="I271" s="228">
        <f t="shared" ref="I271:I273" si="31">+IFERROR((ROUND(G271/H271,0)),"")</f>
        <v>75071</v>
      </c>
      <c r="J271" s="213"/>
    </row>
    <row r="272" spans="1:10" ht="13.35" customHeight="1" x14ac:dyDescent="0.25">
      <c r="A272" s="444" t="s">
        <v>93</v>
      </c>
      <c r="B272" s="445"/>
      <c r="C272" s="446"/>
      <c r="D272" s="211">
        <v>1</v>
      </c>
      <c r="E272" s="235">
        <f>+IF(D272="","",VLOOKUP(A272,$L$4:$O$10,3,FALSE))</f>
        <v>77842</v>
      </c>
      <c r="F272" s="236">
        <f>+IF(D272="","",(VLOOKUP(A272,$L$4:$O$10,4,FALSE))+1)</f>
        <v>1.6752877632282406</v>
      </c>
      <c r="G272" s="219">
        <f>+IFERROR(F272*E272*D272,"")</f>
        <v>130407.75006521271</v>
      </c>
      <c r="H272" s="216">
        <f>+H271</f>
        <v>3</v>
      </c>
      <c r="I272" s="228">
        <f t="shared" si="31"/>
        <v>43469</v>
      </c>
      <c r="J272" s="213"/>
    </row>
    <row r="273" spans="1:12" ht="13.35" customHeight="1" x14ac:dyDescent="0.25">
      <c r="A273" s="444" t="s">
        <v>86</v>
      </c>
      <c r="B273" s="445"/>
      <c r="C273" s="446"/>
      <c r="D273" s="211">
        <v>1</v>
      </c>
      <c r="E273" s="235">
        <f>+IF(D273="","",VLOOKUP(A273,$L$4:$O$10,3,FALSE))</f>
        <v>54117</v>
      </c>
      <c r="F273" s="236">
        <f>+IF(D273="","",(VLOOKUP(A273,$L$4:$O$10,4,FALSE))+1)</f>
        <v>1.7246636834087141</v>
      </c>
      <c r="G273" s="219">
        <f>+IFERROR(F273*E273*D273,"")</f>
        <v>93333.624555029382</v>
      </c>
      <c r="H273" s="216">
        <f>+H272</f>
        <v>3</v>
      </c>
      <c r="I273" s="228">
        <f t="shared" si="31"/>
        <v>31111</v>
      </c>
      <c r="J273" s="213"/>
    </row>
    <row r="274" spans="1:12" x14ac:dyDescent="0.25">
      <c r="A274" s="444"/>
      <c r="B274" s="445"/>
      <c r="C274" s="446"/>
      <c r="D274" s="213"/>
      <c r="E274" s="213"/>
      <c r="F274" s="213"/>
      <c r="G274" s="213"/>
      <c r="H274" s="211"/>
      <c r="I274" s="217"/>
      <c r="J274" s="213"/>
    </row>
    <row r="275" spans="1:12" ht="14.45" customHeight="1" x14ac:dyDescent="0.25">
      <c r="A275" s="437" t="s">
        <v>100</v>
      </c>
      <c r="B275" s="438"/>
      <c r="C275" s="438"/>
      <c r="D275" s="438"/>
      <c r="E275" s="438"/>
      <c r="F275" s="438"/>
      <c r="G275" s="438"/>
      <c r="H275" s="438"/>
      <c r="I275" s="439"/>
      <c r="J275" s="217">
        <f>SUM(I271:I274)</f>
        <v>149651</v>
      </c>
    </row>
    <row r="276" spans="1:12" ht="13.35" customHeight="1" x14ac:dyDescent="0.25">
      <c r="A276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276" s="462"/>
      <c r="C276" s="462"/>
      <c r="D276" s="462"/>
      <c r="E276" s="462"/>
      <c r="F276" s="462"/>
      <c r="G276" s="462"/>
      <c r="H276" s="462"/>
      <c r="I276" s="462"/>
      <c r="J276" s="462"/>
    </row>
    <row r="277" spans="1:12" ht="36.75" customHeight="1" x14ac:dyDescent="0.25">
      <c r="A277" s="463"/>
      <c r="B277" s="463"/>
      <c r="C277" s="463"/>
      <c r="D277" s="463"/>
      <c r="E277" s="462"/>
      <c r="F277" s="462"/>
      <c r="G277" s="462"/>
      <c r="H277" s="462"/>
      <c r="I277" s="462"/>
      <c r="J277" s="462"/>
    </row>
    <row r="278" spans="1:12" ht="23.85" customHeight="1" x14ac:dyDescent="0.25">
      <c r="A278" s="196" t="s">
        <v>78</v>
      </c>
      <c r="B278" s="464" t="s">
        <v>79</v>
      </c>
      <c r="C278" s="464"/>
      <c r="D278" s="464"/>
      <c r="E278" s="464"/>
      <c r="F278" s="464"/>
      <c r="G278" s="464"/>
      <c r="H278" s="464"/>
      <c r="I278" s="197" t="s">
        <v>80</v>
      </c>
      <c r="J278" s="198" t="s">
        <v>81</v>
      </c>
    </row>
    <row r="279" spans="1:12" ht="26.45" customHeight="1" x14ac:dyDescent="0.25">
      <c r="A279" s="203">
        <v>5.01</v>
      </c>
      <c r="B279" s="465" t="str">
        <f>+VLOOKUP(A279,[46]PTO!$B$4:$D$28,2,FALSE)</f>
        <v>Suministro e instalación de la geomembrana Textil HR - 30.000 Espesor 0,75 ml para la impermeabilización</v>
      </c>
      <c r="C279" s="466"/>
      <c r="D279" s="466"/>
      <c r="E279" s="466"/>
      <c r="F279" s="466"/>
      <c r="G279" s="466"/>
      <c r="H279" s="467"/>
      <c r="I279" s="204" t="str">
        <f>+VLOOKUP(A279,[46]PTO!$B$4:$D$28,3,FALSE)</f>
        <v>m2</v>
      </c>
      <c r="J279" s="205">
        <f>+ROUND(SUM(J287:J313),0)</f>
        <v>26304</v>
      </c>
      <c r="L279" s="232" t="e">
        <f>+VLOOKUP(A279,[46]PTO!$B$5:$E$385,5,FALSE)</f>
        <v>#REF!</v>
      </c>
    </row>
    <row r="280" spans="1:12" x14ac:dyDescent="0.25">
      <c r="A280" s="459" t="s">
        <v>87</v>
      </c>
      <c r="B280" s="459"/>
      <c r="C280" s="459"/>
      <c r="D280" s="459"/>
      <c r="E280" s="459"/>
      <c r="F280" s="459"/>
      <c r="G280" s="459"/>
      <c r="H280" s="459"/>
      <c r="I280" s="442"/>
      <c r="J280" s="442"/>
    </row>
    <row r="281" spans="1:12" x14ac:dyDescent="0.25">
      <c r="A281" s="460" t="s">
        <v>2</v>
      </c>
      <c r="B281" s="460"/>
      <c r="C281" s="460"/>
      <c r="D281" s="460"/>
      <c r="E281" s="460"/>
      <c r="F281" s="223" t="s">
        <v>89</v>
      </c>
      <c r="G281" s="234" t="s">
        <v>90</v>
      </c>
      <c r="H281" s="223" t="s">
        <v>91</v>
      </c>
      <c r="I281" s="223" t="s">
        <v>92</v>
      </c>
      <c r="J281" s="213"/>
    </row>
    <row r="282" spans="1:12" x14ac:dyDescent="0.25">
      <c r="A282" s="451" t="s">
        <v>95</v>
      </c>
      <c r="B282" s="451"/>
      <c r="C282" s="451"/>
      <c r="D282" s="451"/>
      <c r="E282" s="451"/>
      <c r="F282" s="214"/>
      <c r="G282" s="215">
        <v>0.05</v>
      </c>
      <c r="H282" s="216"/>
      <c r="I282" s="217">
        <f>ROUND(J313*G282,0)</f>
        <v>561</v>
      </c>
      <c r="J282" s="213"/>
    </row>
    <row r="283" spans="1:12" x14ac:dyDescent="0.25">
      <c r="A283" s="461"/>
      <c r="B283" s="461"/>
      <c r="C283" s="461"/>
      <c r="D283" s="461"/>
      <c r="E283" s="461"/>
      <c r="F283" s="224" t="str">
        <f>+IF(A283="","",VLOOKUP(A283,[46]MATERIALES!$B$7:$D$1222,2,FALSE))</f>
        <v/>
      </c>
      <c r="G283" s="225" t="str">
        <f>+IF(A283="","",VLOOKUP(A283,[46]MATERIALES!$B$7:$E$1222,3,FALSE))</f>
        <v/>
      </c>
      <c r="H283" s="238" t="str">
        <f>IF(A283="","",IFERROR(1/H309,""))</f>
        <v/>
      </c>
      <c r="I283" s="217" t="str">
        <f>IFERROR((ROUND(G283*H283,0)),"")</f>
        <v/>
      </c>
      <c r="J283" s="213"/>
    </row>
    <row r="284" spans="1:12" x14ac:dyDescent="0.25">
      <c r="A284" s="451"/>
      <c r="B284" s="451"/>
      <c r="C284" s="451"/>
      <c r="D284" s="451"/>
      <c r="E284" s="451"/>
      <c r="F284" s="224" t="str">
        <f>+IF(A284="","",VLOOKUP(A284,[46]MATERIALES!$B$7:$D$1222,2,FALSE))</f>
        <v/>
      </c>
      <c r="G284" s="225" t="str">
        <f>+IF(A284="","",VLOOKUP(A284,[46]MATERIALES!$B$7:$E$1222,3,FALSE))</f>
        <v/>
      </c>
      <c r="H284" s="238" t="str">
        <f t="shared" ref="H284:H285" si="32">IF(A284="","",IFERROR(1/H310,""))</f>
        <v/>
      </c>
      <c r="I284" s="217" t="str">
        <f t="shared" ref="I284:I285" si="33">IFERROR(G284*H284,"")</f>
        <v/>
      </c>
      <c r="J284" s="213"/>
    </row>
    <row r="285" spans="1:12" x14ac:dyDescent="0.25">
      <c r="A285" s="451"/>
      <c r="B285" s="451"/>
      <c r="C285" s="451"/>
      <c r="D285" s="451"/>
      <c r="E285" s="451"/>
      <c r="F285" s="224" t="str">
        <f>+IF(A285="","",VLOOKUP(A285,[46]MATERIALES!$B$7:$D$1222,2,FALSE))</f>
        <v/>
      </c>
      <c r="G285" s="225" t="str">
        <f>+IF(A285="","",VLOOKUP(A285,[46]MATERIALES!$B$7:$E$1222,3,FALSE))</f>
        <v/>
      </c>
      <c r="H285" s="238" t="str">
        <f t="shared" si="32"/>
        <v/>
      </c>
      <c r="I285" s="217" t="str">
        <f t="shared" si="33"/>
        <v/>
      </c>
      <c r="J285" s="213"/>
    </row>
    <row r="286" spans="1:12" x14ac:dyDescent="0.25">
      <c r="A286" s="451"/>
      <c r="B286" s="451"/>
      <c r="C286" s="451"/>
      <c r="D286" s="451"/>
      <c r="E286" s="451"/>
      <c r="F286" s="214"/>
      <c r="G286" s="218"/>
      <c r="H286" s="216"/>
      <c r="I286" s="217"/>
      <c r="J286" s="219"/>
    </row>
    <row r="287" spans="1:12" x14ac:dyDescent="0.25">
      <c r="A287" s="437" t="s">
        <v>100</v>
      </c>
      <c r="B287" s="438"/>
      <c r="C287" s="438"/>
      <c r="D287" s="438"/>
      <c r="E287" s="438"/>
      <c r="F287" s="438"/>
      <c r="G287" s="438"/>
      <c r="H287" s="438"/>
      <c r="I287" s="439"/>
      <c r="J287" s="217">
        <f>+SUM(I282:I286)</f>
        <v>561</v>
      </c>
    </row>
    <row r="288" spans="1:12" x14ac:dyDescent="0.25">
      <c r="A288" s="442" t="s">
        <v>101</v>
      </c>
      <c r="B288" s="442"/>
      <c r="C288" s="442"/>
      <c r="D288" s="442"/>
      <c r="E288" s="442"/>
      <c r="F288" s="442"/>
      <c r="G288" s="442"/>
      <c r="H288" s="442"/>
      <c r="I288" s="442"/>
      <c r="J288" s="442"/>
    </row>
    <row r="289" spans="1:10" x14ac:dyDescent="0.25">
      <c r="A289" s="452" t="s">
        <v>2</v>
      </c>
      <c r="B289" s="453"/>
      <c r="C289" s="453"/>
      <c r="D289" s="454"/>
      <c r="E289" s="223" t="s">
        <v>3</v>
      </c>
      <c r="F289" s="223" t="s">
        <v>102</v>
      </c>
      <c r="G289" s="223" t="s">
        <v>4</v>
      </c>
      <c r="H289" s="223" t="s">
        <v>103</v>
      </c>
      <c r="I289" s="223" t="s">
        <v>92</v>
      </c>
      <c r="J289" s="213"/>
    </row>
    <row r="290" spans="1:10" x14ac:dyDescent="0.25">
      <c r="A290" s="448" t="s">
        <v>125</v>
      </c>
      <c r="B290" s="449"/>
      <c r="C290" s="449"/>
      <c r="D290" s="449"/>
      <c r="E290" s="224" t="str">
        <f>+IF(A290="","",VLOOKUP(A290,[46]MATERIALES!$B$7:$D$225,2,FALSE))</f>
        <v>m2</v>
      </c>
      <c r="F290" s="225">
        <f>+IF(A290="","",VLOOKUP(A290,[46]MATERIALES!$B$7:$E$225,3,FALSE))</f>
        <v>10800</v>
      </c>
      <c r="G290" s="238">
        <v>1</v>
      </c>
      <c r="H290" s="227"/>
      <c r="I290" s="217">
        <f>IFERROR(F290*G290*(1+H290),"")</f>
        <v>10800</v>
      </c>
      <c r="J290" s="213"/>
    </row>
    <row r="291" spans="1:10" x14ac:dyDescent="0.25">
      <c r="A291" s="448"/>
      <c r="B291" s="449"/>
      <c r="C291" s="449"/>
      <c r="D291" s="449"/>
      <c r="E291" s="224" t="str">
        <f>+IF(A291="","",VLOOKUP(A291,[46]MATERIALES!$B$7:$D$225,2,FALSE))</f>
        <v/>
      </c>
      <c r="F291" s="225" t="str">
        <f>+IF(A291="","",VLOOKUP(A291,[46]MATERIALES!$B$7:$E$225,3,FALSE))</f>
        <v/>
      </c>
      <c r="G291" s="238"/>
      <c r="H291" s="227"/>
      <c r="I291" s="217" t="str">
        <f t="shared" ref="I291:I294" si="34">IFERROR(F291*G291*(1+H291),"")</f>
        <v/>
      </c>
      <c r="J291" s="213"/>
    </row>
    <row r="292" spans="1:10" x14ac:dyDescent="0.25">
      <c r="A292" s="448"/>
      <c r="B292" s="449"/>
      <c r="C292" s="449"/>
      <c r="D292" s="449"/>
      <c r="E292" s="224" t="str">
        <f>+IF(A292="","",VLOOKUP(A292,[46]MATERIALES!$B$7:$D$225,2,FALSE))</f>
        <v/>
      </c>
      <c r="F292" s="225" t="str">
        <f>+IF(A292="","",VLOOKUP(A292,[46]MATERIALES!$B$7:$E$225,3,FALSE))</f>
        <v/>
      </c>
      <c r="G292" s="238"/>
      <c r="H292" s="227"/>
      <c r="I292" s="217" t="str">
        <f t="shared" si="34"/>
        <v/>
      </c>
      <c r="J292" s="213"/>
    </row>
    <row r="293" spans="1:10" ht="13.35" customHeight="1" x14ac:dyDescent="0.25">
      <c r="A293" s="448"/>
      <c r="B293" s="449"/>
      <c r="C293" s="449"/>
      <c r="D293" s="449"/>
      <c r="E293" s="224" t="str">
        <f>+IF(A293="","",VLOOKUP(A293,[46]MATERIALES!$B$7:$D$225,2,FALSE))</f>
        <v/>
      </c>
      <c r="F293" s="225" t="str">
        <f>+IF(A293="","",VLOOKUP(A293,[46]MATERIALES!$B$7:$E$225,3,FALSE))</f>
        <v/>
      </c>
      <c r="G293" s="238"/>
      <c r="H293" s="227"/>
      <c r="I293" s="217" t="str">
        <f t="shared" si="34"/>
        <v/>
      </c>
      <c r="J293" s="213"/>
    </row>
    <row r="294" spans="1:10" x14ac:dyDescent="0.25">
      <c r="A294" s="448"/>
      <c r="B294" s="449"/>
      <c r="C294" s="449"/>
      <c r="D294" s="449"/>
      <c r="E294" s="224" t="str">
        <f>+IF(A294="","",VLOOKUP(A294,[46]MATERIALES!$B$7:$D$225,2,FALSE))</f>
        <v/>
      </c>
      <c r="F294" s="225" t="str">
        <f>+IF(A294="","",VLOOKUP(A294,[46]MATERIALES!$B$7:$E$225,3,FALSE))</f>
        <v/>
      </c>
      <c r="G294" s="238"/>
      <c r="H294" s="227"/>
      <c r="I294" s="217" t="str">
        <f t="shared" si="34"/>
        <v/>
      </c>
      <c r="J294" s="213"/>
    </row>
    <row r="295" spans="1:10" x14ac:dyDescent="0.25">
      <c r="A295" s="444"/>
      <c r="B295" s="445"/>
      <c r="C295" s="445"/>
      <c r="D295" s="445"/>
      <c r="E295" s="224" t="str">
        <f>+IF(A295="","",VLOOKUP(A295,[46]MATERIALES!$B$7:$D$225,2,FALSE))</f>
        <v/>
      </c>
      <c r="F295" s="225" t="str">
        <f>+IF(A295="","",VLOOKUP(A295,[46]MATERIALES!$B$7:$E$225,3,FALSE))</f>
        <v/>
      </c>
      <c r="G295" s="226"/>
      <c r="H295" s="227"/>
      <c r="I295" s="228" t="str">
        <f t="shared" ref="I295:I297" si="35">IFERROR((ROUND((F295*G295*(1+H295)),0)),"")</f>
        <v/>
      </c>
      <c r="J295" s="213"/>
    </row>
    <row r="296" spans="1:10" x14ac:dyDescent="0.25">
      <c r="A296" s="444"/>
      <c r="B296" s="445"/>
      <c r="C296" s="445"/>
      <c r="D296" s="445"/>
      <c r="E296" s="224" t="str">
        <f>+IF(A296="","",VLOOKUP(A296,[46]MATERIALES!$B$7:$D$225,2,FALSE))</f>
        <v/>
      </c>
      <c r="F296" s="225" t="str">
        <f>+IF(A296="","",VLOOKUP(A296,[46]MATERIALES!$B$7:$E$225,3,FALSE))</f>
        <v/>
      </c>
      <c r="G296" s="226"/>
      <c r="H296" s="227"/>
      <c r="I296" s="228" t="str">
        <f t="shared" si="35"/>
        <v/>
      </c>
      <c r="J296" s="213"/>
    </row>
    <row r="297" spans="1:10" x14ac:dyDescent="0.25">
      <c r="A297" s="444"/>
      <c r="B297" s="445"/>
      <c r="C297" s="445"/>
      <c r="D297" s="445"/>
      <c r="E297" s="224" t="str">
        <f>+IF(A297="","",VLOOKUP(A297,[46]MATERIALES!$B$7:$D$225,2,FALSE))</f>
        <v/>
      </c>
      <c r="F297" s="225" t="str">
        <f>+IF(A297="","",VLOOKUP(A297,[46]MATERIALES!$B$7:$E$225,3,FALSE))</f>
        <v/>
      </c>
      <c r="G297" s="226"/>
      <c r="H297" s="227"/>
      <c r="I297" s="228" t="str">
        <f t="shared" si="35"/>
        <v/>
      </c>
      <c r="J297" s="213"/>
    </row>
    <row r="298" spans="1:10" x14ac:dyDescent="0.25">
      <c r="A298" s="444"/>
      <c r="B298" s="445"/>
      <c r="C298" s="445"/>
      <c r="D298" s="445"/>
      <c r="E298" s="213"/>
      <c r="F298" s="214"/>
      <c r="G298" s="218"/>
      <c r="H298" s="227"/>
      <c r="I298" s="217">
        <f>IFERROR(F298*G298*(1+H298),"")</f>
        <v>0</v>
      </c>
      <c r="J298" s="213"/>
    </row>
    <row r="299" spans="1:10" x14ac:dyDescent="0.25">
      <c r="A299" s="437" t="s">
        <v>100</v>
      </c>
      <c r="B299" s="438"/>
      <c r="C299" s="438"/>
      <c r="D299" s="438"/>
      <c r="E299" s="438"/>
      <c r="F299" s="438"/>
      <c r="G299" s="438"/>
      <c r="H299" s="438"/>
      <c r="I299" s="439"/>
      <c r="J299" s="217">
        <f>SUM(I290:I298)</f>
        <v>10800</v>
      </c>
    </row>
    <row r="300" spans="1:10" x14ac:dyDescent="0.25">
      <c r="A300" s="442" t="s">
        <v>106</v>
      </c>
      <c r="B300" s="442"/>
      <c r="C300" s="442"/>
      <c r="D300" s="442"/>
      <c r="E300" s="442"/>
      <c r="F300" s="442"/>
      <c r="G300" s="442"/>
      <c r="H300" s="442"/>
      <c r="I300" s="442"/>
      <c r="J300" s="442"/>
    </row>
    <row r="301" spans="1:10" ht="22.5" x14ac:dyDescent="0.25">
      <c r="A301" s="443" t="s">
        <v>107</v>
      </c>
      <c r="B301" s="443"/>
      <c r="C301" s="443"/>
      <c r="D301" s="443"/>
      <c r="E301" s="223" t="s">
        <v>108</v>
      </c>
      <c r="F301" s="230" t="s">
        <v>109</v>
      </c>
      <c r="G301" s="223" t="s">
        <v>110</v>
      </c>
      <c r="H301" s="223" t="s">
        <v>111</v>
      </c>
      <c r="I301" s="223" t="s">
        <v>92</v>
      </c>
      <c r="J301" s="213"/>
    </row>
    <row r="302" spans="1:10" x14ac:dyDescent="0.25">
      <c r="A302" s="447" t="s">
        <v>126</v>
      </c>
      <c r="B302" s="447"/>
      <c r="C302" s="447"/>
      <c r="D302" s="447"/>
      <c r="E302" s="216" t="str">
        <f>+IF(A302="","",VLOOKUP(A302,[46]MATERIALES!$B$7:$E$1222,2,FALSE))</f>
        <v>m3/km</v>
      </c>
      <c r="F302" s="240">
        <v>5.0000000000000001E-3</v>
      </c>
      <c r="G302" s="231">
        <f>+IF(A302="","",VLOOKUP(A302,[46]MATERIALES!$B$7:$E$1222,4,FALSE))</f>
        <v>413.59999999999997</v>
      </c>
      <c r="H302" s="216">
        <f>+IF(A302="","",VLOOKUP(A302,[46]MATERIALES!$B$7:$E$1222,3,FALSE))</f>
        <v>1799</v>
      </c>
      <c r="I302" s="217">
        <f>IFERROR(G302*H302*F302,"")</f>
        <v>3720.3319999999994</v>
      </c>
      <c r="J302" s="213"/>
    </row>
    <row r="303" spans="1:10" x14ac:dyDescent="0.25">
      <c r="A303" s="447"/>
      <c r="B303" s="447"/>
      <c r="C303" s="447"/>
      <c r="D303" s="447"/>
      <c r="E303" s="216" t="str">
        <f>+IF(A303="","",VLOOKUP(A303,[46]MATERIALES!$B$7:$E$1222,2,FALSE))</f>
        <v/>
      </c>
      <c r="F303" s="224"/>
      <c r="G303" s="231" t="str">
        <f>+IF(A303="","",VLOOKUP(A303,[46]MATERIALES!$B$7:$E$1222,4,FALSE))</f>
        <v/>
      </c>
      <c r="H303" s="216" t="str">
        <f>+IF(A303="","",VLOOKUP(A303,[46]MATERIALES!$B$7:$E$1222,3,FALSE))</f>
        <v/>
      </c>
      <c r="I303" s="217" t="str">
        <f>IFERROR(G303*H303*F303,"")</f>
        <v/>
      </c>
      <c r="J303" s="213"/>
    </row>
    <row r="304" spans="1:10" x14ac:dyDescent="0.25">
      <c r="A304" s="447"/>
      <c r="B304" s="447"/>
      <c r="C304" s="447"/>
      <c r="D304" s="447"/>
      <c r="E304" s="213"/>
      <c r="F304" s="214"/>
      <c r="G304" s="233"/>
      <c r="H304" s="216"/>
      <c r="I304" s="219"/>
      <c r="J304" s="213"/>
    </row>
    <row r="305" spans="1:12" x14ac:dyDescent="0.25">
      <c r="A305" s="447"/>
      <c r="B305" s="447"/>
      <c r="C305" s="447"/>
      <c r="D305" s="447"/>
      <c r="E305" s="213"/>
      <c r="F305" s="213"/>
      <c r="G305" s="213"/>
      <c r="H305" s="211"/>
      <c r="I305" s="213"/>
      <c r="J305" s="213"/>
    </row>
    <row r="306" spans="1:12" x14ac:dyDescent="0.25">
      <c r="A306" s="437" t="s">
        <v>100</v>
      </c>
      <c r="B306" s="438"/>
      <c r="C306" s="438"/>
      <c r="D306" s="438"/>
      <c r="E306" s="438"/>
      <c r="F306" s="438"/>
      <c r="G306" s="438"/>
      <c r="H306" s="438"/>
      <c r="I306" s="439"/>
      <c r="J306" s="217">
        <f>SUM(I302:I305)</f>
        <v>3720.3319999999994</v>
      </c>
    </row>
    <row r="307" spans="1:12" x14ac:dyDescent="0.25">
      <c r="A307" s="442" t="s">
        <v>112</v>
      </c>
      <c r="B307" s="442"/>
      <c r="C307" s="442"/>
      <c r="D307" s="442"/>
      <c r="E307" s="442"/>
      <c r="F307" s="442"/>
      <c r="G307" s="442"/>
      <c r="H307" s="442"/>
      <c r="I307" s="442"/>
      <c r="J307" s="442"/>
    </row>
    <row r="308" spans="1:12" x14ac:dyDescent="0.25">
      <c r="A308" s="443" t="s">
        <v>113</v>
      </c>
      <c r="B308" s="443"/>
      <c r="C308" s="443"/>
      <c r="D308" s="443"/>
      <c r="E308" s="223" t="s">
        <v>114</v>
      </c>
      <c r="F308" s="223" t="s">
        <v>115</v>
      </c>
      <c r="G308" s="234" t="s">
        <v>116</v>
      </c>
      <c r="H308" s="223" t="s">
        <v>91</v>
      </c>
      <c r="I308" s="223" t="s">
        <v>92</v>
      </c>
      <c r="J308" s="213"/>
    </row>
    <row r="309" spans="1:12" x14ac:dyDescent="0.25">
      <c r="A309" s="444" t="s">
        <v>99</v>
      </c>
      <c r="B309" s="445"/>
      <c r="C309" s="446"/>
      <c r="D309" s="211">
        <v>1</v>
      </c>
      <c r="E309" s="235">
        <f>+IF(D309="","",VLOOKUP(A309,$L$4:$O$10,3,FALSE))</f>
        <v>142350</v>
      </c>
      <c r="F309" s="236">
        <f>+IF(D309="","",(VLOOKUP(A309,$L$4:$O$10,4,FALSE))+1)</f>
        <v>1.5821008628015805</v>
      </c>
      <c r="G309" s="219">
        <f>+IFERROR(F309*E309*D309,"")</f>
        <v>225212.05781980499</v>
      </c>
      <c r="H309" s="216">
        <v>40</v>
      </c>
      <c r="I309" s="228">
        <f t="shared" ref="I309:I311" si="36">+IFERROR((ROUND(G309/H309,0)),"")</f>
        <v>5630</v>
      </c>
      <c r="J309" s="213"/>
    </row>
    <row r="310" spans="1:12" ht="13.35" customHeight="1" x14ac:dyDescent="0.25">
      <c r="A310" s="444" t="s">
        <v>93</v>
      </c>
      <c r="B310" s="445"/>
      <c r="C310" s="446"/>
      <c r="D310" s="211">
        <v>1</v>
      </c>
      <c r="E310" s="235">
        <f>+IF(D310="","",VLOOKUP(A310,$L$4:$O$10,3,FALSE))</f>
        <v>77842</v>
      </c>
      <c r="F310" s="236">
        <f>+IF(D310="","",(VLOOKUP(A310,$L$4:$O$10,4,FALSE))+1)</f>
        <v>1.6752877632282406</v>
      </c>
      <c r="G310" s="219">
        <f>+IFERROR(F310*E310*D310,"")</f>
        <v>130407.75006521271</v>
      </c>
      <c r="H310" s="216">
        <f>+H309</f>
        <v>40</v>
      </c>
      <c r="I310" s="228">
        <f t="shared" si="36"/>
        <v>3260</v>
      </c>
      <c r="J310" s="213"/>
    </row>
    <row r="311" spans="1:12" ht="13.35" customHeight="1" x14ac:dyDescent="0.25">
      <c r="A311" s="444" t="s">
        <v>86</v>
      </c>
      <c r="B311" s="445"/>
      <c r="C311" s="446"/>
      <c r="D311" s="211">
        <v>1</v>
      </c>
      <c r="E311" s="235">
        <f>+IF(D311="","",VLOOKUP(A311,$L$4:$O$10,3,FALSE))</f>
        <v>54117</v>
      </c>
      <c r="F311" s="236">
        <f>+IF(D311="","",(VLOOKUP(A311,$L$4:$O$10,4,FALSE))+1)</f>
        <v>1.7246636834087141</v>
      </c>
      <c r="G311" s="219">
        <f>+IFERROR(F311*E311*D311,"")</f>
        <v>93333.624555029382</v>
      </c>
      <c r="H311" s="216">
        <f>+H310</f>
        <v>40</v>
      </c>
      <c r="I311" s="228">
        <f t="shared" si="36"/>
        <v>2333</v>
      </c>
      <c r="J311" s="213"/>
    </row>
    <row r="312" spans="1:12" x14ac:dyDescent="0.25">
      <c r="A312" s="444"/>
      <c r="B312" s="445"/>
      <c r="C312" s="446"/>
      <c r="D312" s="213"/>
      <c r="E312" s="213"/>
      <c r="F312" s="213"/>
      <c r="G312" s="213"/>
      <c r="H312" s="211"/>
      <c r="I312" s="217"/>
      <c r="J312" s="213"/>
    </row>
    <row r="313" spans="1:12" ht="14.45" customHeight="1" x14ac:dyDescent="0.25">
      <c r="A313" s="437" t="s">
        <v>100</v>
      </c>
      <c r="B313" s="438"/>
      <c r="C313" s="438"/>
      <c r="D313" s="438"/>
      <c r="E313" s="438"/>
      <c r="F313" s="438"/>
      <c r="G313" s="438"/>
      <c r="H313" s="438"/>
      <c r="I313" s="439"/>
      <c r="J313" s="217">
        <f>SUM(I309:I312)</f>
        <v>11223</v>
      </c>
    </row>
    <row r="314" spans="1:12" ht="13.35" customHeight="1" x14ac:dyDescent="0.25">
      <c r="A314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314" s="462"/>
      <c r="C314" s="462"/>
      <c r="D314" s="462"/>
      <c r="E314" s="462"/>
      <c r="F314" s="462"/>
      <c r="G314" s="462"/>
      <c r="H314" s="462"/>
      <c r="I314" s="462"/>
      <c r="J314" s="462"/>
    </row>
    <row r="315" spans="1:12" ht="36" customHeight="1" x14ac:dyDescent="0.25">
      <c r="A315" s="463"/>
      <c r="B315" s="463"/>
      <c r="C315" s="463"/>
      <c r="D315" s="463"/>
      <c r="E315" s="462"/>
      <c r="F315" s="462"/>
      <c r="G315" s="462"/>
      <c r="H315" s="462"/>
      <c r="I315" s="462"/>
      <c r="J315" s="462"/>
    </row>
    <row r="316" spans="1:12" ht="22.5" customHeight="1" x14ac:dyDescent="0.25">
      <c r="A316" s="196" t="s">
        <v>78</v>
      </c>
      <c r="B316" s="464" t="s">
        <v>79</v>
      </c>
      <c r="C316" s="464"/>
      <c r="D316" s="464"/>
      <c r="E316" s="464"/>
      <c r="F316" s="464"/>
      <c r="G316" s="464"/>
      <c r="H316" s="464"/>
      <c r="I316" s="197" t="s">
        <v>80</v>
      </c>
      <c r="J316" s="198" t="s">
        <v>81</v>
      </c>
    </row>
    <row r="317" spans="1:12" ht="19.899999999999999" customHeight="1" x14ac:dyDescent="0.25">
      <c r="A317" s="203">
        <v>5.0199999999999996</v>
      </c>
      <c r="B317" s="465" t="str">
        <f>+VLOOKUP(A317,[46]PTO!$B$4:$D$28,2,FALSE)</f>
        <v>Excavación de cunetas para tuberías de lixiviados y pozo de recirculación de lixiviados</v>
      </c>
      <c r="C317" s="466"/>
      <c r="D317" s="466"/>
      <c r="E317" s="466"/>
      <c r="F317" s="466"/>
      <c r="G317" s="466"/>
      <c r="H317" s="467"/>
      <c r="I317" s="204" t="str">
        <f>+VLOOKUP(A317,[46]PTO!$B$4:$D$28,3,FALSE)</f>
        <v>m3</v>
      </c>
      <c r="J317" s="205">
        <f>+ROUND(SUM(J325:J348),0)</f>
        <v>65178</v>
      </c>
      <c r="L317" s="232" t="e">
        <f>+VLOOKUP(A317,[46]PTO!$B$5:$E$385,5,FALSE)</f>
        <v>#REF!</v>
      </c>
    </row>
    <row r="318" spans="1:12" x14ac:dyDescent="0.25">
      <c r="A318" s="459" t="s">
        <v>87</v>
      </c>
      <c r="B318" s="459"/>
      <c r="C318" s="459"/>
      <c r="D318" s="459"/>
      <c r="E318" s="459"/>
      <c r="F318" s="459"/>
      <c r="G318" s="459"/>
      <c r="H318" s="459"/>
      <c r="I318" s="442"/>
      <c r="J318" s="442"/>
    </row>
    <row r="319" spans="1:12" x14ac:dyDescent="0.25">
      <c r="A319" s="460" t="s">
        <v>2</v>
      </c>
      <c r="B319" s="460"/>
      <c r="C319" s="460"/>
      <c r="D319" s="460"/>
      <c r="E319" s="460"/>
      <c r="F319" s="223" t="s">
        <v>89</v>
      </c>
      <c r="G319" s="234" t="s">
        <v>90</v>
      </c>
      <c r="H319" s="223" t="s">
        <v>91</v>
      </c>
      <c r="I319" s="223" t="s">
        <v>92</v>
      </c>
      <c r="J319" s="213"/>
    </row>
    <row r="320" spans="1:12" x14ac:dyDescent="0.25">
      <c r="A320" s="451" t="s">
        <v>95</v>
      </c>
      <c r="B320" s="451"/>
      <c r="C320" s="451"/>
      <c r="D320" s="451"/>
      <c r="E320" s="451"/>
      <c r="F320" s="214"/>
      <c r="G320" s="215">
        <v>0.05</v>
      </c>
      <c r="H320" s="216"/>
      <c r="I320" s="217">
        <f>ROUND(J348*G320,0)</f>
        <v>2175</v>
      </c>
      <c r="J320" s="213"/>
      <c r="L320" s="241" t="e">
        <f>+L317-J317</f>
        <v>#REF!</v>
      </c>
    </row>
    <row r="321" spans="1:12" ht="13.35" customHeight="1" x14ac:dyDescent="0.25">
      <c r="A321" s="461"/>
      <c r="B321" s="461"/>
      <c r="C321" s="461"/>
      <c r="D321" s="461"/>
      <c r="E321" s="461"/>
      <c r="F321" s="224" t="str">
        <f>+IF(A321="","",VLOOKUP(A321,[46]MATERIALES!$B$7:$D$1222,2,FALSE))</f>
        <v/>
      </c>
      <c r="G321" s="225" t="str">
        <f>+IF(A321="","",VLOOKUP(A321,[46]MATERIALES!$B$7:$E$1222,3,FALSE))</f>
        <v/>
      </c>
      <c r="H321" s="238" t="str">
        <f>IF(A321="","",IFERROR(1/H344,""))</f>
        <v/>
      </c>
      <c r="I321" s="217" t="str">
        <f>IFERROR((ROUND(G321*H321,0)),"")</f>
        <v/>
      </c>
      <c r="J321" s="213"/>
      <c r="L321" s="241" t="e">
        <f>+L320+I328</f>
        <v>#REF!</v>
      </c>
    </row>
    <row r="322" spans="1:12" x14ac:dyDescent="0.25">
      <c r="A322" s="451"/>
      <c r="B322" s="451"/>
      <c r="C322" s="451"/>
      <c r="D322" s="451"/>
      <c r="E322" s="451"/>
      <c r="F322" s="224" t="str">
        <f>+IF(A322="","",VLOOKUP(A322,[46]MATERIALES!$B$7:$D$1222,2,FALSE))</f>
        <v/>
      </c>
      <c r="G322" s="225" t="str">
        <f>+IF(A322="","",VLOOKUP(A322,[46]MATERIALES!$B$7:$E$1222,3,FALSE))</f>
        <v/>
      </c>
      <c r="H322" s="238" t="str">
        <f>IF(A322="","",IFERROR(1/H345,""))</f>
        <v/>
      </c>
      <c r="I322" s="217" t="str">
        <f t="shared" ref="I322" si="37">IFERROR(G322*H322,"")</f>
        <v/>
      </c>
      <c r="J322" s="213"/>
    </row>
    <row r="323" spans="1:12" x14ac:dyDescent="0.25">
      <c r="A323" s="451"/>
      <c r="B323" s="451"/>
      <c r="C323" s="451"/>
      <c r="D323" s="451"/>
      <c r="E323" s="451"/>
      <c r="F323" s="214"/>
      <c r="G323" s="218"/>
      <c r="H323" s="216"/>
      <c r="I323" s="217"/>
      <c r="J323" s="213"/>
    </row>
    <row r="324" spans="1:12" x14ac:dyDescent="0.25">
      <c r="A324" s="451"/>
      <c r="B324" s="451"/>
      <c r="C324" s="451"/>
      <c r="D324" s="451"/>
      <c r="E324" s="451"/>
      <c r="F324" s="214"/>
      <c r="G324" s="218"/>
      <c r="H324" s="216"/>
      <c r="I324" s="217"/>
      <c r="J324" s="219"/>
    </row>
    <row r="325" spans="1:12" x14ac:dyDescent="0.25">
      <c r="A325" s="437" t="s">
        <v>100</v>
      </c>
      <c r="B325" s="438"/>
      <c r="C325" s="438"/>
      <c r="D325" s="438"/>
      <c r="E325" s="438"/>
      <c r="F325" s="438"/>
      <c r="G325" s="438"/>
      <c r="H325" s="438"/>
      <c r="I325" s="439"/>
      <c r="J325" s="217">
        <f>+SUM(I320:I324)</f>
        <v>2175</v>
      </c>
    </row>
    <row r="326" spans="1:12" x14ac:dyDescent="0.25">
      <c r="A326" s="442" t="s">
        <v>101</v>
      </c>
      <c r="B326" s="442"/>
      <c r="C326" s="442"/>
      <c r="D326" s="442"/>
      <c r="E326" s="442"/>
      <c r="F326" s="442"/>
      <c r="G326" s="442"/>
      <c r="H326" s="442"/>
      <c r="I326" s="442"/>
      <c r="J326" s="442"/>
    </row>
    <row r="327" spans="1:12" x14ac:dyDescent="0.25">
      <c r="A327" s="452" t="s">
        <v>2</v>
      </c>
      <c r="B327" s="453"/>
      <c r="C327" s="453"/>
      <c r="D327" s="454"/>
      <c r="E327" s="223" t="s">
        <v>3</v>
      </c>
      <c r="F327" s="223" t="s">
        <v>102</v>
      </c>
      <c r="G327" s="223" t="s">
        <v>4</v>
      </c>
      <c r="H327" s="223" t="s">
        <v>103</v>
      </c>
      <c r="I327" s="223" t="s">
        <v>92</v>
      </c>
      <c r="J327" s="213"/>
    </row>
    <row r="328" spans="1:12" x14ac:dyDescent="0.25">
      <c r="A328" s="444"/>
      <c r="B328" s="445"/>
      <c r="C328" s="445"/>
      <c r="D328" s="445"/>
      <c r="E328" s="224" t="str">
        <f>+IF(A328="","",VLOOKUP(A328,[46]MATERIALES!$B$7:$D$225,2,FALSE))</f>
        <v/>
      </c>
      <c r="F328" s="225" t="str">
        <f>+IF(A328="","",VLOOKUP(A328,[46]MATERIALES!$B$7:$E$225,3,FALSE))</f>
        <v/>
      </c>
      <c r="G328" s="226"/>
      <c r="H328" s="227"/>
      <c r="I328" s="228" t="str">
        <f t="shared" ref="I328:I332" si="38">IFERROR((ROUND((F328*G328*(1+H328)),0)),"")</f>
        <v/>
      </c>
      <c r="J328" s="213"/>
    </row>
    <row r="329" spans="1:12" x14ac:dyDescent="0.25">
      <c r="A329" s="444"/>
      <c r="B329" s="445"/>
      <c r="C329" s="445"/>
      <c r="D329" s="445"/>
      <c r="E329" s="224" t="str">
        <f>+IF(A329="","",VLOOKUP(A329,[46]MATERIALES!$B$7:$D$225,2,FALSE))</f>
        <v/>
      </c>
      <c r="F329" s="225" t="str">
        <f>+IF(A329="","",VLOOKUP(A329,[46]MATERIALES!$B$7:$E$225,3,FALSE))</f>
        <v/>
      </c>
      <c r="G329" s="226"/>
      <c r="H329" s="227"/>
      <c r="I329" s="228" t="str">
        <f t="shared" si="38"/>
        <v/>
      </c>
      <c r="J329" s="213"/>
    </row>
    <row r="330" spans="1:12" x14ac:dyDescent="0.25">
      <c r="A330" s="444"/>
      <c r="B330" s="445"/>
      <c r="C330" s="445"/>
      <c r="D330" s="445"/>
      <c r="E330" s="224" t="str">
        <f>+IF(A330="","",VLOOKUP(A330,[46]MATERIALES!$B$7:$D$225,2,FALSE))</f>
        <v/>
      </c>
      <c r="F330" s="225" t="str">
        <f>+IF(A330="","",VLOOKUP(A330,[46]MATERIALES!$B$7:$E$225,3,FALSE))</f>
        <v/>
      </c>
      <c r="G330" s="238"/>
      <c r="H330" s="227"/>
      <c r="I330" s="228" t="str">
        <f t="shared" si="38"/>
        <v/>
      </c>
      <c r="J330" s="213"/>
    </row>
    <row r="331" spans="1:12" x14ac:dyDescent="0.25">
      <c r="A331" s="444"/>
      <c r="B331" s="445"/>
      <c r="C331" s="445"/>
      <c r="D331" s="445"/>
      <c r="E331" s="224" t="str">
        <f>+IF(A331="","",VLOOKUP(A331,[46]MATERIALES!$B$7:$D$225,2,FALSE))</f>
        <v/>
      </c>
      <c r="F331" s="225" t="str">
        <f>+IF(A331="","",VLOOKUP(A331,[46]MATERIALES!$B$7:$E$225,3,FALSE))</f>
        <v/>
      </c>
      <c r="G331" s="238"/>
      <c r="H331" s="227"/>
      <c r="I331" s="228" t="str">
        <f t="shared" si="38"/>
        <v/>
      </c>
      <c r="J331" s="213"/>
    </row>
    <row r="332" spans="1:12" x14ac:dyDescent="0.25">
      <c r="A332" s="444"/>
      <c r="B332" s="445"/>
      <c r="C332" s="445"/>
      <c r="D332" s="445"/>
      <c r="E332" s="224" t="str">
        <f>+IF(A332="","",VLOOKUP(A332,[46]MATERIALES!$B$7:$D$225,2,FALSE))</f>
        <v/>
      </c>
      <c r="F332" s="225" t="str">
        <f>+IF(A332="","",VLOOKUP(A332,[46]MATERIALES!$B$7:$E$225,3,FALSE))</f>
        <v/>
      </c>
      <c r="G332" s="238"/>
      <c r="H332" s="227"/>
      <c r="I332" s="228" t="str">
        <f t="shared" si="38"/>
        <v/>
      </c>
      <c r="J332" s="213"/>
    </row>
    <row r="333" spans="1:12" x14ac:dyDescent="0.25">
      <c r="A333" s="444"/>
      <c r="B333" s="445"/>
      <c r="C333" s="445"/>
      <c r="D333" s="445"/>
      <c r="E333" s="224"/>
      <c r="F333" s="214"/>
      <c r="G333" s="218"/>
      <c r="H333" s="216"/>
      <c r="I333" s="217">
        <f t="shared" ref="I333" si="39">IFERROR(G333*H333,"")</f>
        <v>0</v>
      </c>
      <c r="J333" s="213"/>
    </row>
    <row r="334" spans="1:12" x14ac:dyDescent="0.25">
      <c r="A334" s="437" t="s">
        <v>100</v>
      </c>
      <c r="B334" s="438"/>
      <c r="C334" s="438"/>
      <c r="D334" s="438"/>
      <c r="E334" s="438"/>
      <c r="F334" s="438"/>
      <c r="G334" s="438"/>
      <c r="H334" s="438"/>
      <c r="I334" s="439"/>
      <c r="J334" s="217">
        <f>SUM(I328:I333)</f>
        <v>0</v>
      </c>
    </row>
    <row r="335" spans="1:12" x14ac:dyDescent="0.25">
      <c r="A335" s="442" t="s">
        <v>106</v>
      </c>
      <c r="B335" s="442"/>
      <c r="C335" s="442"/>
      <c r="D335" s="442"/>
      <c r="E335" s="442"/>
      <c r="F335" s="442"/>
      <c r="G335" s="442"/>
      <c r="H335" s="442"/>
      <c r="I335" s="442"/>
      <c r="J335" s="442"/>
    </row>
    <row r="336" spans="1:12" ht="22.5" x14ac:dyDescent="0.25">
      <c r="A336" s="443" t="s">
        <v>107</v>
      </c>
      <c r="B336" s="443"/>
      <c r="C336" s="443"/>
      <c r="D336" s="443"/>
      <c r="E336" s="223" t="s">
        <v>108</v>
      </c>
      <c r="F336" s="230" t="s">
        <v>109</v>
      </c>
      <c r="G336" s="223" t="s">
        <v>110</v>
      </c>
      <c r="H336" s="223" t="s">
        <v>111</v>
      </c>
      <c r="I336" s="223" t="s">
        <v>92</v>
      </c>
      <c r="J336" s="213"/>
    </row>
    <row r="337" spans="1:12" ht="23.45" customHeight="1" x14ac:dyDescent="0.25">
      <c r="A337" s="472" t="s">
        <v>118</v>
      </c>
      <c r="B337" s="473"/>
      <c r="C337" s="473"/>
      <c r="D337" s="474"/>
      <c r="E337" s="216" t="str">
        <f>+IF(A337="","",VLOOKUP(A337,[46]MATERIALES!$B$7:$E$1222,2,FALSE))</f>
        <v>M3</v>
      </c>
      <c r="F337" s="224">
        <v>1.3</v>
      </c>
      <c r="G337" s="231">
        <f>+IF(A337="","",VLOOKUP(A337,[46]MATERIALES!$B$7:$E$1222,4,FALSE))</f>
        <v>5</v>
      </c>
      <c r="H337" s="216">
        <f>+IF(A337="","",VLOOKUP(A337,[46]MATERIALES!$B$7:$E$1222,3,FALSE))</f>
        <v>3000</v>
      </c>
      <c r="I337" s="228">
        <f>IFERROR((ROUND(G337*H337*F337,0)),"")</f>
        <v>19500</v>
      </c>
      <c r="J337" s="213"/>
    </row>
    <row r="338" spans="1:12" x14ac:dyDescent="0.25">
      <c r="A338" s="472"/>
      <c r="B338" s="473"/>
      <c r="C338" s="473"/>
      <c r="D338" s="474"/>
      <c r="E338" s="216" t="str">
        <f>+IF(A338="","",VLOOKUP(A338,[46]MATERIALES!$B$7:$E$1222,2,FALSE))</f>
        <v/>
      </c>
      <c r="F338" s="224"/>
      <c r="G338" s="231" t="str">
        <f>+IF(A338="","",VLOOKUP(A338,[46]MATERIALES!$B$7:$E$1222,4,FALSE))</f>
        <v/>
      </c>
      <c r="H338" s="216" t="str">
        <f>+IF(A338="","",VLOOKUP(A338,[46]MATERIALES!$B$7:$E$1222,3,FALSE))</f>
        <v/>
      </c>
      <c r="I338" s="228" t="str">
        <f>IFERROR((ROUND(G338*H338*F338,0)),"")</f>
        <v/>
      </c>
      <c r="J338" s="213"/>
    </row>
    <row r="339" spans="1:12" x14ac:dyDescent="0.25">
      <c r="A339" s="447"/>
      <c r="B339" s="447"/>
      <c r="C339" s="447"/>
      <c r="D339" s="447"/>
      <c r="E339" s="213"/>
      <c r="F339" s="214"/>
      <c r="G339" s="233"/>
      <c r="H339" s="216"/>
      <c r="I339" s="219"/>
      <c r="J339" s="213"/>
    </row>
    <row r="340" spans="1:12" x14ac:dyDescent="0.25">
      <c r="A340" s="447"/>
      <c r="B340" s="447"/>
      <c r="C340" s="447"/>
      <c r="D340" s="447"/>
      <c r="E340" s="213"/>
      <c r="F340" s="213"/>
      <c r="G340" s="213"/>
      <c r="H340" s="211"/>
      <c r="I340" s="213"/>
      <c r="J340" s="213"/>
    </row>
    <row r="341" spans="1:12" x14ac:dyDescent="0.25">
      <c r="A341" s="437" t="s">
        <v>100</v>
      </c>
      <c r="B341" s="438"/>
      <c r="C341" s="438"/>
      <c r="D341" s="438"/>
      <c r="E341" s="438"/>
      <c r="F341" s="438"/>
      <c r="G341" s="438"/>
      <c r="H341" s="438"/>
      <c r="I341" s="439"/>
      <c r="J341" s="217">
        <f>SUM(I337:I340)</f>
        <v>19500</v>
      </c>
    </row>
    <row r="342" spans="1:12" x14ac:dyDescent="0.25">
      <c r="A342" s="442" t="s">
        <v>112</v>
      </c>
      <c r="B342" s="442"/>
      <c r="C342" s="442"/>
      <c r="D342" s="442"/>
      <c r="E342" s="442"/>
      <c r="F342" s="442"/>
      <c r="G342" s="442"/>
      <c r="H342" s="442"/>
      <c r="I342" s="442"/>
      <c r="J342" s="442"/>
    </row>
    <row r="343" spans="1:12" x14ac:dyDescent="0.25">
      <c r="A343" s="443" t="s">
        <v>113</v>
      </c>
      <c r="B343" s="443"/>
      <c r="C343" s="443"/>
      <c r="D343" s="443"/>
      <c r="E343" s="223" t="s">
        <v>114</v>
      </c>
      <c r="F343" s="223" t="s">
        <v>115</v>
      </c>
      <c r="G343" s="234" t="s">
        <v>116</v>
      </c>
      <c r="H343" s="223" t="s">
        <v>91</v>
      </c>
      <c r="I343" s="223" t="s">
        <v>92</v>
      </c>
      <c r="J343" s="213"/>
    </row>
    <row r="344" spans="1:12" x14ac:dyDescent="0.25">
      <c r="A344" s="444" t="s">
        <v>97</v>
      </c>
      <c r="B344" s="445"/>
      <c r="C344" s="446"/>
      <c r="D344" s="211">
        <v>1</v>
      </c>
      <c r="E344" s="235">
        <f>+IF(D344="","",VLOOKUP(A344,$L$4:$O$10,3,FALSE))</f>
        <v>101567</v>
      </c>
      <c r="F344" s="236">
        <f>+IF(D344="","",(VLOOKUP(A344,$L$4:$O$10,4,FALSE))+1)</f>
        <v>1.6519796512835072</v>
      </c>
      <c r="G344" s="219">
        <f t="shared" ref="G344:G346" si="40">+IFERROR(F344*E344*D344,"")</f>
        <v>167786.61724191197</v>
      </c>
      <c r="H344" s="216">
        <v>9</v>
      </c>
      <c r="I344" s="228">
        <f t="shared" ref="I344:I346" si="41">+IFERROR((ROUND(G344/H344,0)),"")</f>
        <v>18643</v>
      </c>
      <c r="J344" s="213"/>
    </row>
    <row r="345" spans="1:12" ht="13.35" customHeight="1" x14ac:dyDescent="0.25">
      <c r="A345" s="444" t="s">
        <v>93</v>
      </c>
      <c r="B345" s="445"/>
      <c r="C345" s="446"/>
      <c r="D345" s="211">
        <v>1</v>
      </c>
      <c r="E345" s="235">
        <f>+IF(D345="","",VLOOKUP(A345,$L$4:$O$10,3,FALSE))</f>
        <v>77842</v>
      </c>
      <c r="F345" s="236">
        <f>+IF(D345="","",(VLOOKUP(A345,$L$4:$O$10,4,FALSE))+1)</f>
        <v>1.6752877632282406</v>
      </c>
      <c r="G345" s="219">
        <f t="shared" si="40"/>
        <v>130407.75006521271</v>
      </c>
      <c r="H345" s="216">
        <f>+H344</f>
        <v>9</v>
      </c>
      <c r="I345" s="228">
        <f t="shared" si="41"/>
        <v>14490</v>
      </c>
      <c r="J345" s="213"/>
    </row>
    <row r="346" spans="1:12" ht="13.35" customHeight="1" x14ac:dyDescent="0.25">
      <c r="A346" s="444" t="s">
        <v>86</v>
      </c>
      <c r="B346" s="445"/>
      <c r="C346" s="446"/>
      <c r="D346" s="211">
        <v>1</v>
      </c>
      <c r="E346" s="235">
        <f>+IF(D346="","",VLOOKUP(A346,$L$4:$O$10,3,FALSE))</f>
        <v>54117</v>
      </c>
      <c r="F346" s="236">
        <f>+IF(D346="","",(VLOOKUP(A346,$L$4:$O$10,4,FALSE))+1)</f>
        <v>1.7246636834087141</v>
      </c>
      <c r="G346" s="219">
        <f t="shared" si="40"/>
        <v>93333.624555029382</v>
      </c>
      <c r="H346" s="216">
        <f>+H345</f>
        <v>9</v>
      </c>
      <c r="I346" s="228">
        <f t="shared" si="41"/>
        <v>10370</v>
      </c>
      <c r="J346" s="213"/>
    </row>
    <row r="347" spans="1:12" x14ac:dyDescent="0.25">
      <c r="A347" s="444"/>
      <c r="B347" s="445"/>
      <c r="C347" s="446"/>
      <c r="D347" s="213"/>
      <c r="E347" s="213"/>
      <c r="F347" s="213"/>
      <c r="G347" s="213"/>
      <c r="H347" s="211"/>
      <c r="I347" s="217"/>
      <c r="J347" s="213"/>
    </row>
    <row r="348" spans="1:12" ht="14.45" customHeight="1" x14ac:dyDescent="0.25">
      <c r="A348" s="437" t="s">
        <v>100</v>
      </c>
      <c r="B348" s="438"/>
      <c r="C348" s="438"/>
      <c r="D348" s="438"/>
      <c r="E348" s="438"/>
      <c r="F348" s="438"/>
      <c r="G348" s="438"/>
      <c r="H348" s="438"/>
      <c r="I348" s="439"/>
      <c r="J348" s="217">
        <f>SUM(I344:I347)</f>
        <v>43503</v>
      </c>
    </row>
    <row r="349" spans="1:12" ht="13.35" customHeight="1" x14ac:dyDescent="0.25">
      <c r="A349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349" s="462"/>
      <c r="C349" s="462"/>
      <c r="D349" s="462"/>
      <c r="E349" s="462"/>
      <c r="F349" s="462"/>
      <c r="G349" s="462"/>
      <c r="H349" s="462"/>
      <c r="I349" s="462"/>
      <c r="J349" s="462"/>
    </row>
    <row r="350" spans="1:12" ht="30.6" customHeight="1" x14ac:dyDescent="0.25">
      <c r="A350" s="463"/>
      <c r="B350" s="463"/>
      <c r="C350" s="463"/>
      <c r="D350" s="463"/>
      <c r="E350" s="462"/>
      <c r="F350" s="462"/>
      <c r="G350" s="462"/>
      <c r="H350" s="462"/>
      <c r="I350" s="462"/>
      <c r="J350" s="462"/>
    </row>
    <row r="351" spans="1:12" ht="20.45" customHeight="1" x14ac:dyDescent="0.25">
      <c r="A351" s="196" t="s">
        <v>78</v>
      </c>
      <c r="B351" s="464" t="s">
        <v>79</v>
      </c>
      <c r="C351" s="464"/>
      <c r="D351" s="464"/>
      <c r="E351" s="464"/>
      <c r="F351" s="464"/>
      <c r="G351" s="464"/>
      <c r="H351" s="464"/>
      <c r="I351" s="197" t="s">
        <v>80</v>
      </c>
      <c r="J351" s="198" t="s">
        <v>81</v>
      </c>
    </row>
    <row r="352" spans="1:12" x14ac:dyDescent="0.25">
      <c r="A352" s="203">
        <v>5.03</v>
      </c>
      <c r="B352" s="465" t="str">
        <f>+VLOOKUP(A352,[46]PTO!$B$4:$D$28,2,FALSE)</f>
        <v xml:space="preserve">Suministro e instalación de tubería sanitaria de 4" para recolección de lixiviados. </v>
      </c>
      <c r="C352" s="466"/>
      <c r="D352" s="466"/>
      <c r="E352" s="466"/>
      <c r="F352" s="466"/>
      <c r="G352" s="466"/>
      <c r="H352" s="467"/>
      <c r="I352" s="204" t="str">
        <f>+VLOOKUP(A352,[46]PTO!$B$4:$D$28,3,FALSE)</f>
        <v>m</v>
      </c>
      <c r="J352" s="205">
        <f>+ROUND(SUM(J360:J386),0)</f>
        <v>38530</v>
      </c>
      <c r="L352" s="232" t="e">
        <f>+VLOOKUP(A352,[46]PTO!$B$5:$E$385,5,FALSE)</f>
        <v>#REF!</v>
      </c>
    </row>
    <row r="353" spans="1:10" x14ac:dyDescent="0.25">
      <c r="A353" s="459" t="s">
        <v>87</v>
      </c>
      <c r="B353" s="459"/>
      <c r="C353" s="459"/>
      <c r="D353" s="459"/>
      <c r="E353" s="459"/>
      <c r="F353" s="459"/>
      <c r="G353" s="459"/>
      <c r="H353" s="459"/>
      <c r="I353" s="442"/>
      <c r="J353" s="442"/>
    </row>
    <row r="354" spans="1:10" x14ac:dyDescent="0.25">
      <c r="A354" s="460" t="s">
        <v>2</v>
      </c>
      <c r="B354" s="460"/>
      <c r="C354" s="460"/>
      <c r="D354" s="460"/>
      <c r="E354" s="460"/>
      <c r="F354" s="223" t="s">
        <v>89</v>
      </c>
      <c r="G354" s="234" t="s">
        <v>90</v>
      </c>
      <c r="H354" s="223" t="s">
        <v>91</v>
      </c>
      <c r="I354" s="223" t="s">
        <v>92</v>
      </c>
      <c r="J354" s="213"/>
    </row>
    <row r="355" spans="1:10" x14ac:dyDescent="0.25">
      <c r="A355" s="451" t="s">
        <v>95</v>
      </c>
      <c r="B355" s="451"/>
      <c r="C355" s="451"/>
      <c r="D355" s="451"/>
      <c r="E355" s="451"/>
      <c r="F355" s="214"/>
      <c r="G355" s="215">
        <v>0.05</v>
      </c>
      <c r="H355" s="216"/>
      <c r="I355" s="217">
        <f>ROUND(J386*G355,0)</f>
        <v>608</v>
      </c>
      <c r="J355" s="213"/>
    </row>
    <row r="356" spans="1:10" ht="13.35" customHeight="1" x14ac:dyDescent="0.25">
      <c r="A356" s="451" t="s">
        <v>127</v>
      </c>
      <c r="B356" s="451"/>
      <c r="C356" s="451"/>
      <c r="D356" s="451"/>
      <c r="E356" s="451"/>
      <c r="F356" s="224" t="str">
        <f>+IF(A356="","",VLOOKUP(A356,[46]MATERIALES!$B$7:$D$1222,2,FALSE))</f>
        <v>DIA</v>
      </c>
      <c r="G356" s="225">
        <f>+IF(A356="","",VLOOKUP(A356,[46]MATERIALES!$B$7:$E$1222,3,FALSE))</f>
        <v>32500</v>
      </c>
      <c r="H356" s="238">
        <f>IFERROR(1/H382,"")</f>
        <v>2.5000000000000001E-2</v>
      </c>
      <c r="I356" s="217">
        <f>IFERROR((ROUND(G356*H356,0)),"")</f>
        <v>813</v>
      </c>
      <c r="J356" s="213"/>
    </row>
    <row r="357" spans="1:10" x14ac:dyDescent="0.25">
      <c r="A357" s="451"/>
      <c r="B357" s="451"/>
      <c r="C357" s="451"/>
      <c r="D357" s="451"/>
      <c r="E357" s="451"/>
      <c r="F357" s="224" t="str">
        <f>+IF(A357="","",VLOOKUP(A357,[46]MATERIALES!$B$7:$D$1222,2,FALSE))</f>
        <v/>
      </c>
      <c r="G357" s="225" t="str">
        <f>+IF(A357="","",VLOOKUP(A357,[46]MATERIALES!$B$7:$E$1222,3,FALSE))</f>
        <v/>
      </c>
      <c r="H357" s="238" t="str">
        <f>IF(A357="","",IFERROR(1/H382,""))</f>
        <v/>
      </c>
      <c r="I357" s="217" t="str">
        <f t="shared" ref="I357" si="42">IFERROR(G357*H357,"")</f>
        <v/>
      </c>
      <c r="J357" s="213"/>
    </row>
    <row r="358" spans="1:10" x14ac:dyDescent="0.25">
      <c r="A358" s="451"/>
      <c r="B358" s="451"/>
      <c r="C358" s="451"/>
      <c r="D358" s="451"/>
      <c r="E358" s="451"/>
      <c r="F358" s="214"/>
      <c r="G358" s="218"/>
      <c r="H358" s="216"/>
      <c r="I358" s="217"/>
      <c r="J358" s="213"/>
    </row>
    <row r="359" spans="1:10" x14ac:dyDescent="0.25">
      <c r="A359" s="451"/>
      <c r="B359" s="451"/>
      <c r="C359" s="451"/>
      <c r="D359" s="451"/>
      <c r="E359" s="451"/>
      <c r="F359" s="214"/>
      <c r="G359" s="218"/>
      <c r="H359" s="216"/>
      <c r="I359" s="217"/>
      <c r="J359" s="219"/>
    </row>
    <row r="360" spans="1:10" x14ac:dyDescent="0.25">
      <c r="A360" s="437" t="s">
        <v>100</v>
      </c>
      <c r="B360" s="438"/>
      <c r="C360" s="438"/>
      <c r="D360" s="438"/>
      <c r="E360" s="438"/>
      <c r="F360" s="438"/>
      <c r="G360" s="438"/>
      <c r="H360" s="438"/>
      <c r="I360" s="439"/>
      <c r="J360" s="217">
        <f>+SUM(I355:I359)</f>
        <v>1421</v>
      </c>
    </row>
    <row r="361" spans="1:10" x14ac:dyDescent="0.25">
      <c r="A361" s="442" t="s">
        <v>101</v>
      </c>
      <c r="B361" s="442"/>
      <c r="C361" s="442"/>
      <c r="D361" s="442"/>
      <c r="E361" s="442"/>
      <c r="F361" s="442"/>
      <c r="G361" s="442"/>
      <c r="H361" s="442"/>
      <c r="I361" s="442"/>
      <c r="J361" s="442"/>
    </row>
    <row r="362" spans="1:10" x14ac:dyDescent="0.25">
      <c r="A362" s="452" t="s">
        <v>2</v>
      </c>
      <c r="B362" s="453"/>
      <c r="C362" s="453"/>
      <c r="D362" s="454"/>
      <c r="E362" s="223" t="s">
        <v>3</v>
      </c>
      <c r="F362" s="223" t="s">
        <v>102</v>
      </c>
      <c r="G362" s="223" t="s">
        <v>4</v>
      </c>
      <c r="H362" s="223" t="s">
        <v>103</v>
      </c>
      <c r="I362" s="223" t="s">
        <v>92</v>
      </c>
      <c r="J362" s="213"/>
    </row>
    <row r="363" spans="1:10" x14ac:dyDescent="0.25">
      <c r="A363" s="448" t="s">
        <v>128</v>
      </c>
      <c r="B363" s="449"/>
      <c r="C363" s="449"/>
      <c r="D363" s="449"/>
      <c r="E363" s="224" t="str">
        <f>+IF(A363="","",VLOOKUP(A363,[46]MATERIALES!$B$7:$D$225,2,FALSE))</f>
        <v>UN</v>
      </c>
      <c r="F363" s="225">
        <f>+IF(A363="","",VLOOKUP(A363,[46]MATERIALES!$B$7:$E$225,3,FALSE))</f>
        <v>78400</v>
      </c>
      <c r="G363" s="238">
        <v>0.16666666666666666</v>
      </c>
      <c r="H363" s="227">
        <v>0.05</v>
      </c>
      <c r="I363" s="217">
        <f>IFERROR(F363*G363*(1+H363),"")</f>
        <v>13720</v>
      </c>
      <c r="J363" s="213"/>
    </row>
    <row r="364" spans="1:10" x14ac:dyDescent="0.25">
      <c r="A364" s="448" t="s">
        <v>129</v>
      </c>
      <c r="B364" s="449"/>
      <c r="C364" s="449"/>
      <c r="D364" s="449"/>
      <c r="E364" s="224" t="str">
        <f>+IF(A364="","",VLOOKUP(A364,[46]MATERIALES!$B$7:$D$225,2,FALSE))</f>
        <v>UN</v>
      </c>
      <c r="F364" s="225">
        <f>+IF(A364="","",VLOOKUP(A364,[46]MATERIALES!$B$7:$E$225,3,FALSE))</f>
        <v>5800</v>
      </c>
      <c r="G364" s="238">
        <v>0.16666666666666666</v>
      </c>
      <c r="H364" s="227">
        <v>0.05</v>
      </c>
      <c r="I364" s="217">
        <f t="shared" ref="I364:I367" si="43">IFERROR(F364*G364*(1+H364),"")</f>
        <v>1015</v>
      </c>
      <c r="J364" s="213"/>
    </row>
    <row r="365" spans="1:10" x14ac:dyDescent="0.25">
      <c r="A365" s="448" t="s">
        <v>130</v>
      </c>
      <c r="B365" s="449"/>
      <c r="C365" s="449"/>
      <c r="D365" s="449"/>
      <c r="E365" s="224" t="str">
        <f>+IF(A365="","",VLOOKUP(A365,[46]MATERIALES!$B$7:$D$225,2,FALSE))</f>
        <v>UN</v>
      </c>
      <c r="F365" s="225">
        <f>+IF(A365="","",VLOOKUP(A365,[46]MATERIALES!$B$7:$E$225,3,FALSE))</f>
        <v>85400</v>
      </c>
      <c r="G365" s="238">
        <v>0.03</v>
      </c>
      <c r="H365" s="227">
        <v>0.05</v>
      </c>
      <c r="I365" s="217">
        <f t="shared" si="43"/>
        <v>2690.1</v>
      </c>
      <c r="J365" s="213"/>
    </row>
    <row r="366" spans="1:10" x14ac:dyDescent="0.25">
      <c r="A366" s="448" t="s">
        <v>131</v>
      </c>
      <c r="B366" s="449"/>
      <c r="C366" s="449"/>
      <c r="D366" s="449"/>
      <c r="E366" s="224" t="str">
        <f>+IF(A366="","",VLOOKUP(A366,[46]MATERIALES!$B$7:$D$225,2,FALSE))</f>
        <v>un</v>
      </c>
      <c r="F366" s="225">
        <f>+IF(A366="","",VLOOKUP(A366,[46]MATERIALES!$B$7:$E$225,3,FALSE))</f>
        <v>54900</v>
      </c>
      <c r="G366" s="238">
        <f>+G365</f>
        <v>0.03</v>
      </c>
      <c r="H366" s="227">
        <v>0.05</v>
      </c>
      <c r="I366" s="217">
        <f t="shared" si="43"/>
        <v>1729.3500000000001</v>
      </c>
      <c r="J366" s="213"/>
    </row>
    <row r="367" spans="1:10" x14ac:dyDescent="0.25">
      <c r="A367" s="448" t="s">
        <v>132</v>
      </c>
      <c r="B367" s="449"/>
      <c r="C367" s="449"/>
      <c r="D367" s="449"/>
      <c r="E367" s="224" t="str">
        <f>+IF(A367="","",VLOOKUP(A367,[46]MATERIALES!$B$7:$D$225,2,FALSE))</f>
        <v>Libra</v>
      </c>
      <c r="F367" s="225">
        <f>+IF(A367="","",VLOOKUP(A367,[46]MATERIALES!$B$7:$E$225,3,FALSE))</f>
        <v>7800</v>
      </c>
      <c r="G367" s="226">
        <v>0.2</v>
      </c>
      <c r="H367" s="227">
        <v>0.05</v>
      </c>
      <c r="I367" s="217">
        <f t="shared" si="43"/>
        <v>1638</v>
      </c>
      <c r="J367" s="213"/>
    </row>
    <row r="368" spans="1:10" x14ac:dyDescent="0.25">
      <c r="A368" s="444"/>
      <c r="B368" s="445"/>
      <c r="C368" s="445"/>
      <c r="D368" s="445"/>
      <c r="E368" s="224" t="str">
        <f>+IF(A368="","",VLOOKUP(A368,[46]MATERIALES!$B$7:$D$225,2,FALSE))</f>
        <v/>
      </c>
      <c r="F368" s="225" t="str">
        <f>+IF(A368="","",VLOOKUP(A368,[46]MATERIALES!$B$7:$E$225,3,FALSE))</f>
        <v/>
      </c>
      <c r="G368" s="226"/>
      <c r="H368" s="227"/>
      <c r="I368" s="228" t="str">
        <f t="shared" ref="I368:I370" si="44">IFERROR((ROUND((F368*G368*(1+H368)),0)),"")</f>
        <v/>
      </c>
      <c r="J368" s="213"/>
    </row>
    <row r="369" spans="1:12" x14ac:dyDescent="0.25">
      <c r="A369" s="444"/>
      <c r="B369" s="445"/>
      <c r="C369" s="445"/>
      <c r="D369" s="445"/>
      <c r="E369" s="224" t="str">
        <f>+IF(A369="","",VLOOKUP(A369,[46]MATERIALES!$B$7:$D$225,2,FALSE))</f>
        <v/>
      </c>
      <c r="F369" s="225" t="str">
        <f>+IF(A369="","",VLOOKUP(A369,[46]MATERIALES!$B$7:$E$225,3,FALSE))</f>
        <v/>
      </c>
      <c r="G369" s="226"/>
      <c r="H369" s="227"/>
      <c r="I369" s="228" t="str">
        <f t="shared" si="44"/>
        <v/>
      </c>
      <c r="J369" s="213"/>
    </row>
    <row r="370" spans="1:12" x14ac:dyDescent="0.25">
      <c r="A370" s="444"/>
      <c r="B370" s="445"/>
      <c r="C370" s="445"/>
      <c r="D370" s="445"/>
      <c r="E370" s="224" t="str">
        <f>+IF(A370="","",VLOOKUP(A370,[46]MATERIALES!$B$7:$D$225,2,FALSE))</f>
        <v/>
      </c>
      <c r="F370" s="225" t="str">
        <f>+IF(A370="","",VLOOKUP(A370,[46]MATERIALES!$B$7:$E$225,3,FALSE))</f>
        <v/>
      </c>
      <c r="G370" s="226"/>
      <c r="H370" s="227"/>
      <c r="I370" s="228" t="str">
        <f t="shared" si="44"/>
        <v/>
      </c>
      <c r="J370" s="213"/>
    </row>
    <row r="371" spans="1:12" x14ac:dyDescent="0.25">
      <c r="A371" s="444"/>
      <c r="B371" s="445"/>
      <c r="C371" s="445"/>
      <c r="D371" s="445"/>
      <c r="E371" s="213"/>
      <c r="F371" s="214"/>
      <c r="G371" s="218"/>
      <c r="H371" s="227"/>
      <c r="I371" s="217">
        <f>IFERROR(F371*G371*(1+H371),"")</f>
        <v>0</v>
      </c>
      <c r="J371" s="213"/>
    </row>
    <row r="372" spans="1:12" x14ac:dyDescent="0.25">
      <c r="A372" s="437" t="s">
        <v>100</v>
      </c>
      <c r="B372" s="438"/>
      <c r="C372" s="438"/>
      <c r="D372" s="438"/>
      <c r="E372" s="438"/>
      <c r="F372" s="438"/>
      <c r="G372" s="438"/>
      <c r="H372" s="438"/>
      <c r="I372" s="439"/>
      <c r="J372" s="217">
        <f>SUM(I363:I371)</f>
        <v>20792.449999999997</v>
      </c>
      <c r="L372" s="192">
        <f>0.1*0.1</f>
        <v>1.0000000000000002E-2</v>
      </c>
    </row>
    <row r="373" spans="1:12" x14ac:dyDescent="0.25">
      <c r="A373" s="442" t="s">
        <v>106</v>
      </c>
      <c r="B373" s="442"/>
      <c r="C373" s="442"/>
      <c r="D373" s="442"/>
      <c r="E373" s="442"/>
      <c r="F373" s="442"/>
      <c r="G373" s="442"/>
      <c r="H373" s="442"/>
      <c r="I373" s="442"/>
      <c r="J373" s="442"/>
    </row>
    <row r="374" spans="1:12" ht="22.5" x14ac:dyDescent="0.25">
      <c r="A374" s="443" t="s">
        <v>107</v>
      </c>
      <c r="B374" s="443"/>
      <c r="C374" s="443"/>
      <c r="D374" s="443"/>
      <c r="E374" s="223" t="s">
        <v>108</v>
      </c>
      <c r="F374" s="230" t="s">
        <v>109</v>
      </c>
      <c r="G374" s="223" t="s">
        <v>110</v>
      </c>
      <c r="H374" s="223" t="s">
        <v>111</v>
      </c>
      <c r="I374" s="223" t="s">
        <v>92</v>
      </c>
      <c r="J374" s="213"/>
    </row>
    <row r="375" spans="1:12" x14ac:dyDescent="0.25">
      <c r="A375" s="447" t="s">
        <v>133</v>
      </c>
      <c r="B375" s="447"/>
      <c r="C375" s="447"/>
      <c r="D375" s="447"/>
      <c r="E375" s="216" t="str">
        <f>+IF(A375="","",VLOOKUP(A375,[46]MATERIALES!$B$7:$E$1222,2,FALSE))</f>
        <v>m3/km</v>
      </c>
      <c r="F375" s="224">
        <v>0.05</v>
      </c>
      <c r="G375" s="231">
        <f>+IF(A375="","",VLOOKUP(A375,[46]MATERIALES!$B$7:$E$1222,4,FALSE))</f>
        <v>9.6</v>
      </c>
      <c r="H375" s="216">
        <f>+IF(A375="","",VLOOKUP(A375,[46]MATERIALES!$B$7:$E$1222,3,FALSE))</f>
        <v>8681</v>
      </c>
      <c r="I375" s="217">
        <f>IFERROR(G375*H375*F375,"")</f>
        <v>4166.88</v>
      </c>
      <c r="J375" s="213"/>
    </row>
    <row r="376" spans="1:12" x14ac:dyDescent="0.25">
      <c r="A376" s="447"/>
      <c r="B376" s="447"/>
      <c r="C376" s="447"/>
      <c r="D376" s="447"/>
      <c r="E376" s="216" t="str">
        <f>+IF(A376="","",VLOOKUP(A376,[46]MATERIALES!$B$7:$E$1222,2,FALSE))</f>
        <v/>
      </c>
      <c r="F376" s="224"/>
      <c r="G376" s="231" t="str">
        <f>+IF(A376="","",VLOOKUP(A376,[46]MATERIALES!$B$7:$E$1222,4,FALSE))</f>
        <v/>
      </c>
      <c r="H376" s="216" t="str">
        <f>+IF(A376="","",VLOOKUP(A376,[46]MATERIALES!$B$7:$E$1222,3,FALSE))</f>
        <v/>
      </c>
      <c r="I376" s="217" t="str">
        <f>IFERROR(G376*H376*F376,"")</f>
        <v/>
      </c>
      <c r="J376" s="213"/>
    </row>
    <row r="377" spans="1:12" x14ac:dyDescent="0.25">
      <c r="A377" s="447"/>
      <c r="B377" s="447"/>
      <c r="C377" s="447"/>
      <c r="D377" s="447"/>
      <c r="E377" s="213"/>
      <c r="F377" s="214"/>
      <c r="G377" s="233"/>
      <c r="H377" s="216"/>
      <c r="I377" s="219"/>
      <c r="J377" s="213"/>
    </row>
    <row r="378" spans="1:12" x14ac:dyDescent="0.25">
      <c r="A378" s="447"/>
      <c r="B378" s="447"/>
      <c r="C378" s="447"/>
      <c r="D378" s="447"/>
      <c r="E378" s="213"/>
      <c r="F378" s="213"/>
      <c r="G378" s="213"/>
      <c r="H378" s="211"/>
      <c r="I378" s="213"/>
      <c r="J378" s="213"/>
    </row>
    <row r="379" spans="1:12" x14ac:dyDescent="0.25">
      <c r="A379" s="437" t="s">
        <v>100</v>
      </c>
      <c r="B379" s="438"/>
      <c r="C379" s="438"/>
      <c r="D379" s="438"/>
      <c r="E379" s="438"/>
      <c r="F379" s="438"/>
      <c r="G379" s="438"/>
      <c r="H379" s="438"/>
      <c r="I379" s="439"/>
      <c r="J379" s="217">
        <f>SUM(I375:I378)</f>
        <v>4166.88</v>
      </c>
    </row>
    <row r="380" spans="1:12" x14ac:dyDescent="0.25">
      <c r="A380" s="442" t="s">
        <v>112</v>
      </c>
      <c r="B380" s="442"/>
      <c r="C380" s="442"/>
      <c r="D380" s="442"/>
      <c r="E380" s="442"/>
      <c r="F380" s="442"/>
      <c r="G380" s="442"/>
      <c r="H380" s="442"/>
      <c r="I380" s="442"/>
      <c r="J380" s="442"/>
    </row>
    <row r="381" spans="1:12" x14ac:dyDescent="0.25">
      <c r="A381" s="443" t="s">
        <v>113</v>
      </c>
      <c r="B381" s="443"/>
      <c r="C381" s="443"/>
      <c r="D381" s="443"/>
      <c r="E381" s="223" t="s">
        <v>114</v>
      </c>
      <c r="F381" s="223" t="s">
        <v>115</v>
      </c>
      <c r="G381" s="234" t="s">
        <v>116</v>
      </c>
      <c r="H381" s="223" t="s">
        <v>91</v>
      </c>
      <c r="I381" s="223" t="s">
        <v>92</v>
      </c>
      <c r="J381" s="213"/>
    </row>
    <row r="382" spans="1:12" x14ac:dyDescent="0.25">
      <c r="A382" s="444" t="s">
        <v>99</v>
      </c>
      <c r="B382" s="445"/>
      <c r="C382" s="446"/>
      <c r="D382" s="211">
        <v>1</v>
      </c>
      <c r="E382" s="235">
        <f>+IF(D382="","",VLOOKUP(A382,$L$4:$O$10,3,FALSE))</f>
        <v>142350</v>
      </c>
      <c r="F382" s="236">
        <f>+IF(D382="","",(VLOOKUP(A382,$L$4:$O$10,4,FALSE))+1)</f>
        <v>1.5821008628015805</v>
      </c>
      <c r="G382" s="219">
        <f>+IFERROR(F382*E382*D382,"")</f>
        <v>225212.05781980499</v>
      </c>
      <c r="H382" s="216">
        <v>40</v>
      </c>
      <c r="I382" s="228">
        <f t="shared" ref="I382:I384" si="45">+IFERROR((ROUND(G382/H382,0)),"")</f>
        <v>5630</v>
      </c>
      <c r="J382" s="213"/>
    </row>
    <row r="383" spans="1:12" ht="13.35" customHeight="1" x14ac:dyDescent="0.25">
      <c r="A383" s="444" t="s">
        <v>93</v>
      </c>
      <c r="B383" s="445"/>
      <c r="C383" s="446"/>
      <c r="D383" s="211">
        <v>2</v>
      </c>
      <c r="E383" s="235">
        <f>+IF(D383="","",VLOOKUP(A383,$L$4:$O$10,3,FALSE))</f>
        <v>77842</v>
      </c>
      <c r="F383" s="236">
        <f>+IF(D383="","",(VLOOKUP(A383,$L$4:$O$10,4,FALSE))+1)</f>
        <v>1.6752877632282406</v>
      </c>
      <c r="G383" s="219">
        <f>+IFERROR(F383*E383*D383,"")</f>
        <v>260815.50013042541</v>
      </c>
      <c r="H383" s="216">
        <f>+H382</f>
        <v>40</v>
      </c>
      <c r="I383" s="228">
        <f t="shared" si="45"/>
        <v>6520</v>
      </c>
      <c r="J383" s="213"/>
    </row>
    <row r="384" spans="1:12" ht="13.35" customHeight="1" x14ac:dyDescent="0.25">
      <c r="A384" s="444"/>
      <c r="B384" s="445"/>
      <c r="C384" s="446"/>
      <c r="D384" s="211"/>
      <c r="E384" s="235" t="str">
        <f>+IF(D384="","",VLOOKUP(A384,$L$4:$O$10,3,FALSE))</f>
        <v/>
      </c>
      <c r="F384" s="236" t="str">
        <f>+IF(D384="","",(VLOOKUP(A384,$L$4:$O$10,4,FALSE))+1)</f>
        <v/>
      </c>
      <c r="G384" s="219" t="str">
        <f>+IFERROR(F384*E384*D384,"")</f>
        <v/>
      </c>
      <c r="H384" s="216"/>
      <c r="I384" s="228" t="str">
        <f t="shared" si="45"/>
        <v/>
      </c>
      <c r="J384" s="213"/>
    </row>
    <row r="385" spans="1:12" x14ac:dyDescent="0.25">
      <c r="A385" s="444"/>
      <c r="B385" s="445"/>
      <c r="C385" s="446"/>
      <c r="D385" s="213"/>
      <c r="E385" s="213"/>
      <c r="F385" s="213"/>
      <c r="G385" s="213"/>
      <c r="H385" s="211"/>
      <c r="I385" s="217"/>
      <c r="J385" s="213"/>
    </row>
    <row r="386" spans="1:12" ht="14.45" customHeight="1" x14ac:dyDescent="0.25">
      <c r="A386" s="437" t="s">
        <v>100</v>
      </c>
      <c r="B386" s="438"/>
      <c r="C386" s="438"/>
      <c r="D386" s="438"/>
      <c r="E386" s="438"/>
      <c r="F386" s="438"/>
      <c r="G386" s="438"/>
      <c r="H386" s="438"/>
      <c r="I386" s="439"/>
      <c r="J386" s="217">
        <f>SUM(I382:I385)</f>
        <v>12150</v>
      </c>
    </row>
    <row r="387" spans="1:12" ht="13.35" customHeight="1" x14ac:dyDescent="0.25">
      <c r="A387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387" s="462"/>
      <c r="C387" s="462"/>
      <c r="D387" s="462"/>
      <c r="E387" s="462"/>
      <c r="F387" s="462"/>
      <c r="G387" s="462"/>
      <c r="H387" s="462"/>
      <c r="I387" s="462"/>
      <c r="J387" s="462"/>
    </row>
    <row r="388" spans="1:12" ht="33.950000000000003" customHeight="1" x14ac:dyDescent="0.25">
      <c r="A388" s="463"/>
      <c r="B388" s="463"/>
      <c r="C388" s="463"/>
      <c r="D388" s="463"/>
      <c r="E388" s="462"/>
      <c r="F388" s="462"/>
      <c r="G388" s="462"/>
      <c r="H388" s="462"/>
      <c r="I388" s="462"/>
      <c r="J388" s="462"/>
    </row>
    <row r="389" spans="1:12" ht="20.45" customHeight="1" x14ac:dyDescent="0.25">
      <c r="A389" s="196" t="s">
        <v>78</v>
      </c>
      <c r="B389" s="464" t="s">
        <v>79</v>
      </c>
      <c r="C389" s="464"/>
      <c r="D389" s="464"/>
      <c r="E389" s="464"/>
      <c r="F389" s="464"/>
      <c r="G389" s="464"/>
      <c r="H389" s="464"/>
      <c r="I389" s="197" t="s">
        <v>80</v>
      </c>
      <c r="J389" s="198" t="s">
        <v>81</v>
      </c>
    </row>
    <row r="390" spans="1:12" ht="17.100000000000001" customHeight="1" x14ac:dyDescent="0.25">
      <c r="A390" s="203">
        <v>5.04</v>
      </c>
      <c r="B390" s="465" t="str">
        <f>+VLOOKUP(A390,[46]PTO!$B$4:$D$28,2,FALSE)</f>
        <v xml:space="preserve">Construcción de cuarto de máquinas. </v>
      </c>
      <c r="C390" s="466"/>
      <c r="D390" s="466"/>
      <c r="E390" s="466"/>
      <c r="F390" s="466"/>
      <c r="G390" s="466"/>
      <c r="H390" s="467"/>
      <c r="I390" s="204" t="str">
        <f>+VLOOKUP(A390,[46]PTO!$B$4:$D$28,3,FALSE)</f>
        <v>UN</v>
      </c>
      <c r="J390" s="205">
        <f>+ROUND(SUM(J398:J426),0)</f>
        <v>1475892</v>
      </c>
      <c r="L390" s="232" t="e">
        <f>+VLOOKUP(A390,[46]PTO!$B$5:$E$385,5,FALSE)</f>
        <v>#REF!</v>
      </c>
    </row>
    <row r="391" spans="1:12" x14ac:dyDescent="0.25">
      <c r="A391" s="459" t="s">
        <v>87</v>
      </c>
      <c r="B391" s="459"/>
      <c r="C391" s="459"/>
      <c r="D391" s="459"/>
      <c r="E391" s="459"/>
      <c r="F391" s="459"/>
      <c r="G391" s="459"/>
      <c r="H391" s="459"/>
      <c r="I391" s="442"/>
      <c r="J391" s="442"/>
    </row>
    <row r="392" spans="1:12" x14ac:dyDescent="0.25">
      <c r="A392" s="460" t="s">
        <v>2</v>
      </c>
      <c r="B392" s="460"/>
      <c r="C392" s="460"/>
      <c r="D392" s="460"/>
      <c r="E392" s="460"/>
      <c r="F392" s="223" t="s">
        <v>89</v>
      </c>
      <c r="G392" s="234" t="s">
        <v>90</v>
      </c>
      <c r="H392" s="223" t="s">
        <v>91</v>
      </c>
      <c r="I392" s="223" t="s">
        <v>92</v>
      </c>
      <c r="J392" s="213"/>
    </row>
    <row r="393" spans="1:12" x14ac:dyDescent="0.25">
      <c r="A393" s="451" t="s">
        <v>95</v>
      </c>
      <c r="B393" s="451"/>
      <c r="C393" s="451"/>
      <c r="D393" s="451"/>
      <c r="E393" s="451"/>
      <c r="F393" s="214"/>
      <c r="G393" s="215">
        <v>0.05</v>
      </c>
      <c r="H393" s="216"/>
      <c r="I393" s="217">
        <f>ROUND(J426*G393,0)</f>
        <v>33635</v>
      </c>
      <c r="J393" s="213"/>
    </row>
    <row r="394" spans="1:12" ht="13.35" customHeight="1" x14ac:dyDescent="0.25">
      <c r="A394" s="451" t="s">
        <v>127</v>
      </c>
      <c r="B394" s="451"/>
      <c r="C394" s="451"/>
      <c r="D394" s="451"/>
      <c r="E394" s="451"/>
      <c r="F394" s="224" t="str">
        <f>+IF(A394="","",VLOOKUP(A394,[46]MATERIALES!$B$7:$D$1222,2,FALSE))</f>
        <v>DIA</v>
      </c>
      <c r="G394" s="225">
        <f>+IF(A394="","",VLOOKUP(A394,[46]MATERIALES!$B$7:$E$1222,3,FALSE))</f>
        <v>32500</v>
      </c>
      <c r="H394" s="238">
        <f t="shared" ref="H394" si="46">IFERROR(1/H422,"")</f>
        <v>1</v>
      </c>
      <c r="I394" s="217">
        <f>IFERROR((ROUND(G394*H394,0)),"")</f>
        <v>32500</v>
      </c>
      <c r="J394" s="213"/>
    </row>
    <row r="395" spans="1:12" x14ac:dyDescent="0.25">
      <c r="A395" s="461" t="s">
        <v>134</v>
      </c>
      <c r="B395" s="461"/>
      <c r="C395" s="461"/>
      <c r="D395" s="461"/>
      <c r="E395" s="461"/>
      <c r="F395" s="224" t="str">
        <f>+IF(A395="","",VLOOKUP(A395,[46]MATERIALES!$B$7:$D$1222,2,FALSE))</f>
        <v>DIA</v>
      </c>
      <c r="G395" s="225">
        <f>+IF(A395="","",VLOOKUP(A395,[46]MATERIALES!$B$7:$E$1222,3,FALSE))</f>
        <v>50000</v>
      </c>
      <c r="H395" s="238">
        <f>IF(A395="","",IFERROR(1/H423,""))</f>
        <v>1</v>
      </c>
      <c r="I395" s="217">
        <f t="shared" ref="I395:I396" si="47">IFERROR(G395*H395,"")</f>
        <v>50000</v>
      </c>
      <c r="J395" s="213"/>
    </row>
    <row r="396" spans="1:12" x14ac:dyDescent="0.25">
      <c r="A396" s="461"/>
      <c r="B396" s="461"/>
      <c r="C396" s="461"/>
      <c r="D396" s="461"/>
      <c r="E396" s="461"/>
      <c r="F396" s="224" t="str">
        <f>+IF(A396="","",VLOOKUP(A396,[46]MATERIALES!$B$7:$D$1222,2,FALSE))</f>
        <v/>
      </c>
      <c r="G396" s="225" t="str">
        <f>+IF(A396="","",VLOOKUP(A396,[46]MATERIALES!$B$7:$E$1222,3,FALSE))</f>
        <v/>
      </c>
      <c r="H396" s="238" t="str">
        <f>IF(A396="","",IFERROR(1/H422,""))</f>
        <v/>
      </c>
      <c r="I396" s="217" t="str">
        <f t="shared" si="47"/>
        <v/>
      </c>
      <c r="J396" s="213"/>
    </row>
    <row r="397" spans="1:12" x14ac:dyDescent="0.25">
      <c r="A397" s="451"/>
      <c r="B397" s="451"/>
      <c r="C397" s="451"/>
      <c r="D397" s="451"/>
      <c r="E397" s="451"/>
      <c r="F397" s="214"/>
      <c r="G397" s="218"/>
      <c r="H397" s="216"/>
      <c r="I397" s="217"/>
      <c r="J397" s="219"/>
    </row>
    <row r="398" spans="1:12" x14ac:dyDescent="0.25">
      <c r="A398" s="437" t="s">
        <v>100</v>
      </c>
      <c r="B398" s="438"/>
      <c r="C398" s="438"/>
      <c r="D398" s="438"/>
      <c r="E398" s="438"/>
      <c r="F398" s="438"/>
      <c r="G398" s="438"/>
      <c r="H398" s="438"/>
      <c r="I398" s="439"/>
      <c r="J398" s="217">
        <f>+SUM(I393:I397)</f>
        <v>116135</v>
      </c>
    </row>
    <row r="399" spans="1:12" x14ac:dyDescent="0.25">
      <c r="A399" s="442" t="s">
        <v>101</v>
      </c>
      <c r="B399" s="442"/>
      <c r="C399" s="442"/>
      <c r="D399" s="442"/>
      <c r="E399" s="442"/>
      <c r="F399" s="442"/>
      <c r="G399" s="442"/>
      <c r="H399" s="442"/>
      <c r="I399" s="442"/>
      <c r="J399" s="442"/>
    </row>
    <row r="400" spans="1:12" x14ac:dyDescent="0.25">
      <c r="A400" s="452" t="s">
        <v>2</v>
      </c>
      <c r="B400" s="453"/>
      <c r="C400" s="453"/>
      <c r="D400" s="454"/>
      <c r="E400" s="223" t="s">
        <v>3</v>
      </c>
      <c r="F400" s="223" t="s">
        <v>102</v>
      </c>
      <c r="G400" s="223" t="s">
        <v>4</v>
      </c>
      <c r="H400" s="223" t="s">
        <v>103</v>
      </c>
      <c r="I400" s="223" t="s">
        <v>92</v>
      </c>
      <c r="J400" s="213"/>
    </row>
    <row r="401" spans="1:10" x14ac:dyDescent="0.25">
      <c r="A401" s="444" t="s">
        <v>135</v>
      </c>
      <c r="B401" s="445"/>
      <c r="C401" s="445"/>
      <c r="D401" s="445"/>
      <c r="E401" s="224" t="str">
        <f>+IF(A401="","",VLOOKUP(A401,[46]MATERIALES!$B$7:$D$225,2,FALSE))</f>
        <v>un</v>
      </c>
      <c r="F401" s="225">
        <f>+IF(A401="","",VLOOKUP(A401,[46]MATERIALES!$B$7:$E$225,3,FALSE))</f>
        <v>3000</v>
      </c>
      <c r="G401" s="226">
        <f>12.5*4</f>
        <v>50</v>
      </c>
      <c r="H401" s="227"/>
      <c r="I401" s="228">
        <f t="shared" ref="I401:I404" si="48">IFERROR((ROUND((F401*G401*(1+H401)),0)),"")</f>
        <v>150000</v>
      </c>
      <c r="J401" s="213"/>
    </row>
    <row r="402" spans="1:10" x14ac:dyDescent="0.25">
      <c r="A402" s="444" t="s">
        <v>136</v>
      </c>
      <c r="B402" s="445"/>
      <c r="C402" s="445"/>
      <c r="D402" s="445"/>
      <c r="E402" s="224" t="str">
        <f>+IF(A402="","",VLOOKUP(A402,[46]MATERIALES!$B$7:$D$225,2,FALSE))</f>
        <v>m3</v>
      </c>
      <c r="F402" s="225">
        <f>+IF(A402="","",VLOOKUP(A402,[46]MATERIALES!$B$7:$E$225,3,FALSE))</f>
        <v>977096</v>
      </c>
      <c r="G402" s="226">
        <f>0.02*4+8*0.02</f>
        <v>0.24</v>
      </c>
      <c r="H402" s="227"/>
      <c r="I402" s="228">
        <f t="shared" si="48"/>
        <v>234503</v>
      </c>
      <c r="J402" s="213"/>
    </row>
    <row r="403" spans="1:10" x14ac:dyDescent="0.25">
      <c r="A403" s="444" t="s">
        <v>137</v>
      </c>
      <c r="B403" s="445"/>
      <c r="C403" s="445"/>
      <c r="D403" s="445"/>
      <c r="E403" s="224" t="str">
        <f>+IF(A403="","",VLOOKUP(A403,[46]MATERIALES!$B$7:$D$225,2,FALSE))</f>
        <v>m2</v>
      </c>
      <c r="F403" s="225">
        <f>+IF(A403="","",VLOOKUP(A403,[46]MATERIALES!$B$7:$E$225,3,FALSE))</f>
        <v>71500</v>
      </c>
      <c r="G403" s="226">
        <f>1.2*1.2</f>
        <v>1.44</v>
      </c>
      <c r="H403" s="227"/>
      <c r="I403" s="228">
        <f t="shared" si="48"/>
        <v>102960</v>
      </c>
      <c r="J403" s="213"/>
    </row>
    <row r="404" spans="1:10" x14ac:dyDescent="0.25">
      <c r="A404" s="444" t="s">
        <v>138</v>
      </c>
      <c r="B404" s="445"/>
      <c r="C404" s="445"/>
      <c r="D404" s="445"/>
      <c r="E404" s="224" t="str">
        <f>+IF(A404="","",VLOOKUP(A404,[46]MATERIALES!$B$7:$D$225,2,FALSE))</f>
        <v>m3</v>
      </c>
      <c r="F404" s="225">
        <f>+IF(A404="","",VLOOKUP(A404,[46]MATERIALES!$B$7:$E$225,3,FALSE))</f>
        <v>840990</v>
      </c>
      <c r="G404" s="226">
        <v>0.1</v>
      </c>
      <c r="H404" s="227"/>
      <c r="I404" s="228">
        <f t="shared" si="48"/>
        <v>84099</v>
      </c>
      <c r="J404" s="213"/>
    </row>
    <row r="405" spans="1:10" x14ac:dyDescent="0.25">
      <c r="A405" s="444" t="s">
        <v>139</v>
      </c>
      <c r="B405" s="445"/>
      <c r="C405" s="445"/>
      <c r="D405" s="445"/>
      <c r="E405" s="224" t="str">
        <f>+IF(A405="","",VLOOKUP(A405,[46]MATERIALES!$B$7:$D$225,2,FALSE))</f>
        <v>Galón</v>
      </c>
      <c r="F405" s="225">
        <f>+IF(A405="","",VLOOKUP(A405,[46]MATERIALES!$B$7:$E$225,3,FALSE))</f>
        <v>150000</v>
      </c>
      <c r="G405" s="226">
        <v>0.25</v>
      </c>
      <c r="H405" s="227"/>
      <c r="I405" s="217">
        <f>IFERROR(F405*G405*(1+H405),"")</f>
        <v>37500</v>
      </c>
      <c r="J405" s="213"/>
    </row>
    <row r="406" spans="1:10" x14ac:dyDescent="0.25">
      <c r="A406" s="444" t="s">
        <v>104</v>
      </c>
      <c r="B406" s="445"/>
      <c r="C406" s="445"/>
      <c r="D406" s="445"/>
      <c r="E406" s="224" t="str">
        <f>+IF(A406="","",VLOOKUP(A406,[46]MATERIALES!$B$7:$D$225,2,FALSE))</f>
        <v>UN</v>
      </c>
      <c r="F406" s="225">
        <f>+IF(A406="","",VLOOKUP(A406,[46]MATERIALES!$B$7:$E$225,3,FALSE))</f>
        <v>18000</v>
      </c>
      <c r="G406" s="226">
        <v>1</v>
      </c>
      <c r="H406" s="227"/>
      <c r="I406" s="217">
        <f t="shared" ref="I406:I411" si="49">IFERROR(F406*G406*(1+H406),"")</f>
        <v>18000</v>
      </c>
      <c r="J406" s="213"/>
    </row>
    <row r="407" spans="1:10" x14ac:dyDescent="0.25">
      <c r="A407" s="444"/>
      <c r="B407" s="445"/>
      <c r="C407" s="445"/>
      <c r="D407" s="445"/>
      <c r="E407" s="213"/>
      <c r="F407" s="214"/>
      <c r="G407" s="226"/>
      <c r="H407" s="227"/>
      <c r="I407" s="217">
        <f t="shared" si="49"/>
        <v>0</v>
      </c>
      <c r="J407" s="213"/>
    </row>
    <row r="408" spans="1:10" x14ac:dyDescent="0.25">
      <c r="A408" s="444"/>
      <c r="B408" s="445"/>
      <c r="C408" s="445"/>
      <c r="D408" s="445"/>
      <c r="E408" s="213"/>
      <c r="F408" s="214"/>
      <c r="G408" s="226"/>
      <c r="H408" s="227"/>
      <c r="I408" s="217">
        <f t="shared" si="49"/>
        <v>0</v>
      </c>
      <c r="J408" s="213"/>
    </row>
    <row r="409" spans="1:10" x14ac:dyDescent="0.25">
      <c r="A409" s="444"/>
      <c r="B409" s="445"/>
      <c r="C409" s="445"/>
      <c r="D409" s="445"/>
      <c r="E409" s="213"/>
      <c r="F409" s="214"/>
      <c r="G409" s="226"/>
      <c r="H409" s="227"/>
      <c r="I409" s="217">
        <f t="shared" si="49"/>
        <v>0</v>
      </c>
      <c r="J409" s="213"/>
    </row>
    <row r="410" spans="1:10" x14ac:dyDescent="0.25">
      <c r="A410" s="444"/>
      <c r="B410" s="445"/>
      <c r="C410" s="445"/>
      <c r="D410" s="445"/>
      <c r="E410" s="213"/>
      <c r="F410" s="214"/>
      <c r="G410" s="226"/>
      <c r="H410" s="227"/>
      <c r="I410" s="217">
        <f t="shared" si="49"/>
        <v>0</v>
      </c>
      <c r="J410" s="213"/>
    </row>
    <row r="411" spans="1:10" x14ac:dyDescent="0.25">
      <c r="A411" s="444"/>
      <c r="B411" s="445"/>
      <c r="C411" s="445"/>
      <c r="D411" s="445"/>
      <c r="E411" s="213"/>
      <c r="F411" s="214"/>
      <c r="G411" s="218"/>
      <c r="H411" s="227"/>
      <c r="I411" s="217">
        <f t="shared" si="49"/>
        <v>0</v>
      </c>
      <c r="J411" s="213"/>
    </row>
    <row r="412" spans="1:10" x14ac:dyDescent="0.25">
      <c r="A412" s="437" t="s">
        <v>100</v>
      </c>
      <c r="B412" s="438"/>
      <c r="C412" s="438"/>
      <c r="D412" s="438"/>
      <c r="E412" s="438"/>
      <c r="F412" s="438"/>
      <c r="G412" s="438"/>
      <c r="H412" s="438"/>
      <c r="I412" s="439"/>
      <c r="J412" s="217">
        <f>SUM(I401:I411)</f>
        <v>627062</v>
      </c>
    </row>
    <row r="413" spans="1:10" x14ac:dyDescent="0.25">
      <c r="A413" s="442" t="s">
        <v>106</v>
      </c>
      <c r="B413" s="442"/>
      <c r="C413" s="442"/>
      <c r="D413" s="442"/>
      <c r="E413" s="442"/>
      <c r="F413" s="442"/>
      <c r="G413" s="442"/>
      <c r="H413" s="442"/>
      <c r="I413" s="442"/>
      <c r="J413" s="442"/>
    </row>
    <row r="414" spans="1:10" ht="22.5" x14ac:dyDescent="0.25">
      <c r="A414" s="443" t="s">
        <v>107</v>
      </c>
      <c r="B414" s="443"/>
      <c r="C414" s="443"/>
      <c r="D414" s="443"/>
      <c r="E414" s="223" t="s">
        <v>108</v>
      </c>
      <c r="F414" s="230" t="s">
        <v>109</v>
      </c>
      <c r="G414" s="223" t="s">
        <v>110</v>
      </c>
      <c r="H414" s="223" t="s">
        <v>111</v>
      </c>
      <c r="I414" s="223" t="s">
        <v>92</v>
      </c>
      <c r="J414" s="213"/>
    </row>
    <row r="415" spans="1:10" x14ac:dyDescent="0.25">
      <c r="A415" s="447" t="s">
        <v>140</v>
      </c>
      <c r="B415" s="447"/>
      <c r="C415" s="447"/>
      <c r="D415" s="447"/>
      <c r="E415" s="216" t="str">
        <f>+IF(A415="","",VLOOKUP(A415,[46]MATERIALES!$B$7:$E$1222,2,FALSE))</f>
        <v>M3</v>
      </c>
      <c r="F415" s="224">
        <v>1</v>
      </c>
      <c r="G415" s="231">
        <f>+IF(A415="","",VLOOKUP(A415,[46]MATERIALES!$B$7:$E$1222,4,FALSE))</f>
        <v>3</v>
      </c>
      <c r="H415" s="216">
        <f>+IF(A415="","",VLOOKUP(A415,[46]MATERIALES!$B$7:$E$1222,3,FALSE))</f>
        <v>15000</v>
      </c>
      <c r="I415" s="217">
        <f>IFERROR(G415*H415*F415,"")</f>
        <v>45000</v>
      </c>
      <c r="J415" s="213"/>
    </row>
    <row r="416" spans="1:10" ht="22.35" customHeight="1" x14ac:dyDescent="0.25">
      <c r="A416" s="447" t="s">
        <v>118</v>
      </c>
      <c r="B416" s="447"/>
      <c r="C416" s="447"/>
      <c r="D416" s="447"/>
      <c r="E416" s="216" t="str">
        <f>+IF(A416="","",VLOOKUP(A416,[46]MATERIALES!$B$7:$E$1222,2,FALSE))</f>
        <v>M3</v>
      </c>
      <c r="F416" s="224">
        <v>1</v>
      </c>
      <c r="G416" s="231">
        <f>+IF(A416="","",VLOOKUP(A416,[46]MATERIALES!$B$7:$E$1222,4,FALSE))</f>
        <v>5</v>
      </c>
      <c r="H416" s="216">
        <f>+IF(A416="","",VLOOKUP(A416,[46]MATERIALES!$B$7:$E$1222,3,FALSE))</f>
        <v>3000</v>
      </c>
      <c r="I416" s="217">
        <f>IFERROR(G416*H416*F416,"")</f>
        <v>15000</v>
      </c>
      <c r="J416" s="213"/>
    </row>
    <row r="417" spans="1:12" x14ac:dyDescent="0.25">
      <c r="A417" s="447"/>
      <c r="B417" s="447"/>
      <c r="C417" s="447"/>
      <c r="D417" s="447"/>
      <c r="E417" s="213"/>
      <c r="F417" s="214"/>
      <c r="G417" s="233"/>
      <c r="H417" s="216"/>
      <c r="I417" s="219"/>
      <c r="J417" s="213"/>
    </row>
    <row r="418" spans="1:12" x14ac:dyDescent="0.25">
      <c r="A418" s="447"/>
      <c r="B418" s="447"/>
      <c r="C418" s="447"/>
      <c r="D418" s="447"/>
      <c r="E418" s="213"/>
      <c r="F418" s="213"/>
      <c r="G418" s="213"/>
      <c r="H418" s="211"/>
      <c r="I418" s="213"/>
      <c r="J418" s="213"/>
    </row>
    <row r="419" spans="1:12" x14ac:dyDescent="0.25">
      <c r="A419" s="437" t="s">
        <v>100</v>
      </c>
      <c r="B419" s="438"/>
      <c r="C419" s="438"/>
      <c r="D419" s="438"/>
      <c r="E419" s="438"/>
      <c r="F419" s="438"/>
      <c r="G419" s="438"/>
      <c r="H419" s="438"/>
      <c r="I419" s="439"/>
      <c r="J419" s="217">
        <f>SUM(I415:I418)</f>
        <v>60000</v>
      </c>
    </row>
    <row r="420" spans="1:12" x14ac:dyDescent="0.25">
      <c r="A420" s="442" t="s">
        <v>112</v>
      </c>
      <c r="B420" s="442"/>
      <c r="C420" s="442"/>
      <c r="D420" s="442"/>
      <c r="E420" s="442"/>
      <c r="F420" s="442"/>
      <c r="G420" s="442"/>
      <c r="H420" s="442"/>
      <c r="I420" s="442"/>
      <c r="J420" s="442"/>
    </row>
    <row r="421" spans="1:12" x14ac:dyDescent="0.25">
      <c r="A421" s="443" t="s">
        <v>113</v>
      </c>
      <c r="B421" s="443"/>
      <c r="C421" s="443"/>
      <c r="D421" s="443"/>
      <c r="E421" s="223" t="s">
        <v>114</v>
      </c>
      <c r="F421" s="223" t="s">
        <v>115</v>
      </c>
      <c r="G421" s="234" t="s">
        <v>116</v>
      </c>
      <c r="H421" s="223" t="s">
        <v>91</v>
      </c>
      <c r="I421" s="223" t="s">
        <v>92</v>
      </c>
      <c r="J421" s="213"/>
    </row>
    <row r="422" spans="1:12" x14ac:dyDescent="0.25">
      <c r="A422" s="444" t="s">
        <v>99</v>
      </c>
      <c r="B422" s="445"/>
      <c r="C422" s="446"/>
      <c r="D422" s="211">
        <v>1</v>
      </c>
      <c r="E422" s="235">
        <f>+IF(D422="","",VLOOKUP(A422,$L$4:$O$10,3,FALSE))</f>
        <v>142350</v>
      </c>
      <c r="F422" s="236">
        <f>+IF(D422="","",(VLOOKUP(A422,$L$4:$O$10,4,FALSE))+1)</f>
        <v>1.5821008628015805</v>
      </c>
      <c r="G422" s="219">
        <f>+IFERROR(F422*E422*D422,"")</f>
        <v>225212.05781980499</v>
      </c>
      <c r="H422" s="216">
        <v>1</v>
      </c>
      <c r="I422" s="217">
        <f>IFERROR(G422/H422,"")</f>
        <v>225212.05781980499</v>
      </c>
      <c r="J422" s="213"/>
    </row>
    <row r="423" spans="1:12" ht="13.35" customHeight="1" x14ac:dyDescent="0.25">
      <c r="A423" s="444" t="s">
        <v>93</v>
      </c>
      <c r="B423" s="445"/>
      <c r="C423" s="446"/>
      <c r="D423" s="211">
        <v>2</v>
      </c>
      <c r="E423" s="235">
        <f>+IF(D423="","",VLOOKUP(A423,$L$4:$O$10,3,FALSE))</f>
        <v>77842</v>
      </c>
      <c r="F423" s="236">
        <f>+IF(D423="","",(VLOOKUP(A423,$L$4:$O$10,4,FALSE))+1)</f>
        <v>1.6752877632282406</v>
      </c>
      <c r="G423" s="219">
        <f>+IFERROR(F423*E423*D423,"")</f>
        <v>260815.50013042541</v>
      </c>
      <c r="H423" s="216">
        <f>+H422</f>
        <v>1</v>
      </c>
      <c r="I423" s="217">
        <f t="shared" ref="I423:I424" si="50">IFERROR(G423/H423,"")</f>
        <v>260815.50013042541</v>
      </c>
      <c r="J423" s="213"/>
    </row>
    <row r="424" spans="1:12" ht="13.35" customHeight="1" x14ac:dyDescent="0.25">
      <c r="A424" s="444" t="s">
        <v>86</v>
      </c>
      <c r="B424" s="445"/>
      <c r="C424" s="446"/>
      <c r="D424" s="211">
        <v>2</v>
      </c>
      <c r="E424" s="235">
        <f>+IF(D424="","",VLOOKUP(A424,$L$4:$O$10,3,FALSE))</f>
        <v>54117</v>
      </c>
      <c r="F424" s="236">
        <f>+IF(D424="","",(VLOOKUP(A424,$L$4:$O$10,4,FALSE))+1)</f>
        <v>1.7246636834087141</v>
      </c>
      <c r="G424" s="219">
        <f>+IFERROR(F424*E424*D424,"")</f>
        <v>186667.24911005876</v>
      </c>
      <c r="H424" s="216">
        <f>+H423</f>
        <v>1</v>
      </c>
      <c r="I424" s="217">
        <f t="shared" si="50"/>
        <v>186667.24911005876</v>
      </c>
      <c r="J424" s="213"/>
    </row>
    <row r="425" spans="1:12" x14ac:dyDescent="0.25">
      <c r="A425" s="444"/>
      <c r="B425" s="445"/>
      <c r="C425" s="446"/>
      <c r="D425" s="213"/>
      <c r="E425" s="213"/>
      <c r="F425" s="213"/>
      <c r="G425" s="213"/>
      <c r="H425" s="211"/>
      <c r="I425" s="217"/>
      <c r="J425" s="213"/>
    </row>
    <row r="426" spans="1:12" ht="14.45" customHeight="1" x14ac:dyDescent="0.25">
      <c r="A426" s="437" t="s">
        <v>100</v>
      </c>
      <c r="B426" s="438"/>
      <c r="C426" s="438"/>
      <c r="D426" s="438"/>
      <c r="E426" s="438"/>
      <c r="F426" s="438"/>
      <c r="G426" s="438"/>
      <c r="H426" s="438"/>
      <c r="I426" s="439"/>
      <c r="J426" s="217">
        <f>SUM(I422:I425)</f>
        <v>672694.8070602892</v>
      </c>
    </row>
    <row r="427" spans="1:12" ht="13.35" customHeight="1" x14ac:dyDescent="0.25">
      <c r="A427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427" s="462"/>
      <c r="C427" s="462"/>
      <c r="D427" s="462"/>
      <c r="E427" s="462"/>
      <c r="F427" s="462"/>
      <c r="G427" s="462"/>
      <c r="H427" s="462"/>
      <c r="I427" s="462"/>
      <c r="J427" s="462"/>
    </row>
    <row r="428" spans="1:12" ht="32.65" customHeight="1" x14ac:dyDescent="0.25">
      <c r="A428" s="463"/>
      <c r="B428" s="463"/>
      <c r="C428" s="463"/>
      <c r="D428" s="463"/>
      <c r="E428" s="462"/>
      <c r="F428" s="462"/>
      <c r="G428" s="462"/>
      <c r="H428" s="462"/>
      <c r="I428" s="462"/>
      <c r="J428" s="462"/>
    </row>
    <row r="429" spans="1:12" ht="22.5" customHeight="1" x14ac:dyDescent="0.25">
      <c r="A429" s="196" t="s">
        <v>78</v>
      </c>
      <c r="B429" s="464" t="s">
        <v>79</v>
      </c>
      <c r="C429" s="464"/>
      <c r="D429" s="464"/>
      <c r="E429" s="464"/>
      <c r="F429" s="464"/>
      <c r="G429" s="464"/>
      <c r="H429" s="464"/>
      <c r="I429" s="197" t="s">
        <v>80</v>
      </c>
      <c r="J429" s="198" t="s">
        <v>81</v>
      </c>
    </row>
    <row r="430" spans="1:12" ht="26.45" customHeight="1" x14ac:dyDescent="0.25">
      <c r="A430" s="203">
        <v>5.05</v>
      </c>
      <c r="B430" s="465" t="str">
        <f>+VLOOKUP(A430,[46]PTO!$B$4:$D$28,2,FALSE)</f>
        <v>Suministro e instalación de moto bomba de 2x2 autocebante para la evacuación de tanques de los lixiviados</v>
      </c>
      <c r="C430" s="466"/>
      <c r="D430" s="466"/>
      <c r="E430" s="466"/>
      <c r="F430" s="466"/>
      <c r="G430" s="466"/>
      <c r="H430" s="467"/>
      <c r="I430" s="204" t="str">
        <f>+VLOOKUP(A430,[46]PTO!$B$4:$D$28,3,FALSE)</f>
        <v>UN</v>
      </c>
      <c r="J430" s="205">
        <f>+ROUND(SUM(J438:J460),0)</f>
        <v>4210402</v>
      </c>
      <c r="L430" s="232" t="e">
        <f>+VLOOKUP(A430,[46]PTO!$B$5:$E$385,5,FALSE)</f>
        <v>#REF!</v>
      </c>
    </row>
    <row r="431" spans="1:12" x14ac:dyDescent="0.25">
      <c r="A431" s="459" t="s">
        <v>87</v>
      </c>
      <c r="B431" s="459"/>
      <c r="C431" s="459"/>
      <c r="D431" s="459"/>
      <c r="E431" s="459"/>
      <c r="F431" s="459"/>
      <c r="G431" s="459"/>
      <c r="H431" s="459"/>
      <c r="I431" s="442"/>
      <c r="J431" s="442"/>
    </row>
    <row r="432" spans="1:12" x14ac:dyDescent="0.25">
      <c r="A432" s="460" t="s">
        <v>2</v>
      </c>
      <c r="B432" s="460"/>
      <c r="C432" s="460"/>
      <c r="D432" s="460"/>
      <c r="E432" s="460"/>
      <c r="F432" s="223" t="s">
        <v>89</v>
      </c>
      <c r="G432" s="234" t="s">
        <v>90</v>
      </c>
      <c r="H432" s="223" t="s">
        <v>91</v>
      </c>
      <c r="I432" s="223" t="s">
        <v>92</v>
      </c>
      <c r="J432" s="213"/>
    </row>
    <row r="433" spans="1:10" x14ac:dyDescent="0.25">
      <c r="A433" s="451" t="s">
        <v>95</v>
      </c>
      <c r="B433" s="451"/>
      <c r="C433" s="451"/>
      <c r="D433" s="451"/>
      <c r="E433" s="451"/>
      <c r="F433" s="214"/>
      <c r="G433" s="215">
        <v>0.05</v>
      </c>
      <c r="H433" s="216"/>
      <c r="I433" s="217">
        <f>ROUND(J460*G433,0)</f>
        <v>17781</v>
      </c>
      <c r="J433" s="213"/>
    </row>
    <row r="434" spans="1:10" ht="13.35" customHeight="1" x14ac:dyDescent="0.25">
      <c r="A434" s="451"/>
      <c r="B434" s="451"/>
      <c r="C434" s="451"/>
      <c r="D434" s="451"/>
      <c r="E434" s="451"/>
      <c r="F434" s="224" t="str">
        <f>+IF(A434="","",VLOOKUP(A434,[46]MATERIALES!$B$7:$D$1222,2,FALSE))</f>
        <v/>
      </c>
      <c r="G434" s="225" t="str">
        <f>+IF(A434="","",VLOOKUP(A434,[46]MATERIALES!$B$7:$E$1222,3,FALSE))</f>
        <v/>
      </c>
      <c r="H434" s="238" t="str">
        <f>IF(A434="","",IFERROR(1/H456,""))</f>
        <v/>
      </c>
      <c r="I434" s="217" t="str">
        <f>IFERROR((ROUND(G434*H434,0)),"")</f>
        <v/>
      </c>
      <c r="J434" s="213"/>
    </row>
    <row r="435" spans="1:10" x14ac:dyDescent="0.25">
      <c r="A435" s="451"/>
      <c r="B435" s="451"/>
      <c r="C435" s="451"/>
      <c r="D435" s="451"/>
      <c r="E435" s="451"/>
      <c r="F435" s="224" t="str">
        <f>+IF(A435="","",VLOOKUP(A435,[46]MATERIALES!$B$7:$D$1222,2,FALSE))</f>
        <v/>
      </c>
      <c r="G435" s="225" t="str">
        <f>+IF(A435="","",VLOOKUP(A435,[46]MATERIALES!$B$7:$E$1222,3,FALSE))</f>
        <v/>
      </c>
      <c r="H435" s="238" t="str">
        <f>IF(A435="","",IFERROR(1/H457,""))</f>
        <v/>
      </c>
      <c r="I435" s="217" t="str">
        <f t="shared" ref="I435:I437" si="51">IFERROR(G435*H435,"")</f>
        <v/>
      </c>
      <c r="J435" s="213"/>
    </row>
    <row r="436" spans="1:10" x14ac:dyDescent="0.25">
      <c r="A436" s="451"/>
      <c r="B436" s="451"/>
      <c r="C436" s="451"/>
      <c r="D436" s="451"/>
      <c r="E436" s="451"/>
      <c r="F436" s="224" t="str">
        <f>+IF(A436="","",VLOOKUP(A436,[46]MATERIALES!$B$7:$D$1222,2,FALSE))</f>
        <v/>
      </c>
      <c r="G436" s="225" t="str">
        <f>+IF(A436="","",VLOOKUP(A436,[46]MATERIALES!$B$7:$E$1222,3,FALSE))</f>
        <v/>
      </c>
      <c r="H436" s="238" t="str">
        <f>IF(A436="","",IFERROR(1/H456,""))</f>
        <v/>
      </c>
      <c r="I436" s="217" t="str">
        <f t="shared" si="51"/>
        <v/>
      </c>
      <c r="J436" s="213"/>
    </row>
    <row r="437" spans="1:10" x14ac:dyDescent="0.25">
      <c r="A437" s="451"/>
      <c r="B437" s="451"/>
      <c r="C437" s="451"/>
      <c r="D437" s="451"/>
      <c r="E437" s="451"/>
      <c r="F437" s="224" t="str">
        <f>+IF(A437="","",VLOOKUP(A437,[46]MATERIALES!$B$7:$D$1222,2,FALSE))</f>
        <v/>
      </c>
      <c r="G437" s="225" t="str">
        <f>+IF(A437="","",VLOOKUP(A437,[46]MATERIALES!$B$7:$E$1222,3,FALSE))</f>
        <v/>
      </c>
      <c r="H437" s="238" t="str">
        <f>IF(A437="","",IFERROR(2/H457,""))</f>
        <v/>
      </c>
      <c r="I437" s="217" t="str">
        <f t="shared" si="51"/>
        <v/>
      </c>
      <c r="J437" s="219"/>
    </row>
    <row r="438" spans="1:10" x14ac:dyDescent="0.25">
      <c r="A438" s="437" t="s">
        <v>100</v>
      </c>
      <c r="B438" s="438"/>
      <c r="C438" s="438"/>
      <c r="D438" s="438"/>
      <c r="E438" s="438"/>
      <c r="F438" s="438"/>
      <c r="G438" s="438"/>
      <c r="H438" s="438"/>
      <c r="I438" s="439"/>
      <c r="J438" s="217">
        <f>+SUM(I433:I437)</f>
        <v>17781</v>
      </c>
    </row>
    <row r="439" spans="1:10" x14ac:dyDescent="0.25">
      <c r="A439" s="442" t="s">
        <v>101</v>
      </c>
      <c r="B439" s="442"/>
      <c r="C439" s="442"/>
      <c r="D439" s="442"/>
      <c r="E439" s="442"/>
      <c r="F439" s="442"/>
      <c r="G439" s="442"/>
      <c r="H439" s="442"/>
      <c r="I439" s="442"/>
      <c r="J439" s="442"/>
    </row>
    <row r="440" spans="1:10" x14ac:dyDescent="0.25">
      <c r="A440" s="452" t="s">
        <v>2</v>
      </c>
      <c r="B440" s="453"/>
      <c r="C440" s="453"/>
      <c r="D440" s="454"/>
      <c r="E440" s="223" t="s">
        <v>3</v>
      </c>
      <c r="F440" s="223" t="s">
        <v>102</v>
      </c>
      <c r="G440" s="223" t="s">
        <v>4</v>
      </c>
      <c r="H440" s="223" t="s">
        <v>103</v>
      </c>
      <c r="I440" s="223" t="s">
        <v>92</v>
      </c>
      <c r="J440" s="213"/>
    </row>
    <row r="441" spans="1:10" x14ac:dyDescent="0.25">
      <c r="A441" s="444" t="s">
        <v>141</v>
      </c>
      <c r="B441" s="445"/>
      <c r="C441" s="445"/>
      <c r="D441" s="445"/>
      <c r="E441" s="224" t="str">
        <f>+IF(A441="","",VLOOKUP(A441,[46]MATERIALES!$B$7:$D$225,2,FALSE))</f>
        <v>UN</v>
      </c>
      <c r="F441" s="225">
        <f>+IF(A441="","",VLOOKUP(A441,[46]MATERIALES!$B$7:$E$225,3,FALSE))</f>
        <v>3562900</v>
      </c>
      <c r="G441" s="226">
        <v>1</v>
      </c>
      <c r="H441" s="227"/>
      <c r="I441" s="228">
        <f t="shared" ref="I441:I444" si="52">IFERROR((ROUND((F441*G441*(1+H441)),0)),"")</f>
        <v>3562900</v>
      </c>
      <c r="J441" s="213"/>
    </row>
    <row r="442" spans="1:10" x14ac:dyDescent="0.25">
      <c r="A442" s="444" t="s">
        <v>142</v>
      </c>
      <c r="B442" s="445"/>
      <c r="C442" s="445"/>
      <c r="D442" s="445"/>
      <c r="E442" s="224" t="str">
        <f>+IF(A442="","",VLOOKUP(A442,[46]MATERIALES!$B$7:$D$225,2,FALSE))</f>
        <v>m</v>
      </c>
      <c r="F442" s="225">
        <f>+IF(A442="","",VLOOKUP(A442,[46]MATERIALES!$B$7:$E$225,3,FALSE))</f>
        <v>6000</v>
      </c>
      <c r="G442" s="226">
        <v>6</v>
      </c>
      <c r="H442" s="227"/>
      <c r="I442" s="228">
        <f t="shared" si="52"/>
        <v>36000</v>
      </c>
      <c r="J442" s="213"/>
    </row>
    <row r="443" spans="1:10" x14ac:dyDescent="0.25">
      <c r="A443" s="444"/>
      <c r="B443" s="445"/>
      <c r="C443" s="445"/>
      <c r="D443" s="445"/>
      <c r="E443" s="224" t="str">
        <f>+IF(A443="","",VLOOKUP(A443,[46]MATERIALES!$B$7:$D$225,2,FALSE))</f>
        <v/>
      </c>
      <c r="F443" s="225" t="str">
        <f>+IF(A443="","",VLOOKUP(A443,[46]MATERIALES!$B$7:$E$225,3,FALSE))</f>
        <v/>
      </c>
      <c r="G443" s="226"/>
      <c r="H443" s="227"/>
      <c r="I443" s="228" t="str">
        <f t="shared" si="52"/>
        <v/>
      </c>
      <c r="J443" s="213"/>
    </row>
    <row r="444" spans="1:10" x14ac:dyDescent="0.25">
      <c r="A444" s="444"/>
      <c r="B444" s="445"/>
      <c r="C444" s="445"/>
      <c r="D444" s="445"/>
      <c r="E444" s="224" t="str">
        <f>+IF(A444="","",VLOOKUP(A444,[46]MATERIALES!$B$7:$D$225,2,FALSE))</f>
        <v/>
      </c>
      <c r="F444" s="225" t="str">
        <f>+IF(A444="","",VLOOKUP(A444,[46]MATERIALES!$B$7:$E$225,3,FALSE))</f>
        <v/>
      </c>
      <c r="G444" s="226"/>
      <c r="H444" s="227"/>
      <c r="I444" s="228" t="str">
        <f t="shared" si="52"/>
        <v/>
      </c>
      <c r="J444" s="213"/>
    </row>
    <row r="445" spans="1:10" x14ac:dyDescent="0.25">
      <c r="A445" s="444"/>
      <c r="B445" s="445"/>
      <c r="C445" s="445"/>
      <c r="D445" s="445"/>
      <c r="E445" s="213"/>
      <c r="F445" s="214"/>
      <c r="G445" s="218"/>
      <c r="H445" s="227"/>
      <c r="I445" s="217">
        <f>IFERROR(F445*G445*(1+H445),"")</f>
        <v>0</v>
      </c>
      <c r="J445" s="213"/>
    </row>
    <row r="446" spans="1:10" x14ac:dyDescent="0.25">
      <c r="A446" s="437" t="s">
        <v>100</v>
      </c>
      <c r="B446" s="438"/>
      <c r="C446" s="438"/>
      <c r="D446" s="438"/>
      <c r="E446" s="438"/>
      <c r="F446" s="438"/>
      <c r="G446" s="438"/>
      <c r="H446" s="438"/>
      <c r="I446" s="439"/>
      <c r="J446" s="217">
        <f>SUM(I441:I445)</f>
        <v>3598900</v>
      </c>
    </row>
    <row r="447" spans="1:10" x14ac:dyDescent="0.25">
      <c r="A447" s="442" t="s">
        <v>106</v>
      </c>
      <c r="B447" s="442"/>
      <c r="C447" s="442"/>
      <c r="D447" s="442"/>
      <c r="E447" s="442"/>
      <c r="F447" s="442"/>
      <c r="G447" s="442"/>
      <c r="H447" s="442"/>
      <c r="I447" s="442"/>
      <c r="J447" s="442"/>
    </row>
    <row r="448" spans="1:10" ht="22.5" x14ac:dyDescent="0.25">
      <c r="A448" s="443" t="s">
        <v>107</v>
      </c>
      <c r="B448" s="443"/>
      <c r="C448" s="443"/>
      <c r="D448" s="443"/>
      <c r="E448" s="223" t="s">
        <v>108</v>
      </c>
      <c r="F448" s="230" t="s">
        <v>109</v>
      </c>
      <c r="G448" s="223" t="s">
        <v>110</v>
      </c>
      <c r="H448" s="223" t="s">
        <v>111</v>
      </c>
      <c r="I448" s="223" t="s">
        <v>92</v>
      </c>
      <c r="J448" s="213"/>
    </row>
    <row r="449" spans="1:12" x14ac:dyDescent="0.25">
      <c r="A449" s="447" t="s">
        <v>126</v>
      </c>
      <c r="B449" s="447"/>
      <c r="C449" s="447"/>
      <c r="D449" s="447"/>
      <c r="E449" s="216" t="str">
        <f>+IF(A449="","",VLOOKUP(A449,[46]MATERIALES!$B$7:$E$1222,2,FALSE))</f>
        <v>m3/km</v>
      </c>
      <c r="F449" s="224">
        <f>0.8*0.8*0.5</f>
        <v>0.32000000000000006</v>
      </c>
      <c r="G449" s="231">
        <f>+IF(A449="","",VLOOKUP(A449,[46]MATERIALES!$B$7:$E$1222,4,FALSE))</f>
        <v>413.59999999999997</v>
      </c>
      <c r="H449" s="216">
        <f>+IF(A449="","",VLOOKUP(A449,[46]MATERIALES!$B$7:$E$1222,3,FALSE))</f>
        <v>1799</v>
      </c>
      <c r="I449" s="217">
        <f>IFERROR(G449*H449*F449,"")</f>
        <v>238101.24800000002</v>
      </c>
      <c r="J449" s="213"/>
    </row>
    <row r="450" spans="1:12" x14ac:dyDescent="0.25">
      <c r="A450" s="447"/>
      <c r="B450" s="447"/>
      <c r="C450" s="447"/>
      <c r="D450" s="447"/>
      <c r="E450" s="216" t="str">
        <f>+IF(A450="","",VLOOKUP(A450,[46]MATERIALES!$B$7:$E$1222,2,FALSE))</f>
        <v/>
      </c>
      <c r="F450" s="224"/>
      <c r="G450" s="231" t="str">
        <f>+IF(A450="","",VLOOKUP(A450,[46]MATERIALES!$B$7:$E$1222,4,FALSE))</f>
        <v/>
      </c>
      <c r="H450" s="216" t="str">
        <f>+IF(A450="","",VLOOKUP(A450,[46]MATERIALES!$B$7:$E$1222,3,FALSE))</f>
        <v/>
      </c>
      <c r="I450" s="217" t="str">
        <f>IFERROR(G450*H450*F450,"")</f>
        <v/>
      </c>
      <c r="J450" s="213"/>
    </row>
    <row r="451" spans="1:12" x14ac:dyDescent="0.25">
      <c r="A451" s="447"/>
      <c r="B451" s="447"/>
      <c r="C451" s="447"/>
      <c r="D451" s="447"/>
      <c r="E451" s="213"/>
      <c r="F451" s="214"/>
      <c r="G451" s="233"/>
      <c r="H451" s="216"/>
      <c r="I451" s="219"/>
      <c r="J451" s="213"/>
    </row>
    <row r="452" spans="1:12" x14ac:dyDescent="0.25">
      <c r="A452" s="447"/>
      <c r="B452" s="447"/>
      <c r="C452" s="447"/>
      <c r="D452" s="447"/>
      <c r="E452" s="213"/>
      <c r="F452" s="213"/>
      <c r="G452" s="213"/>
      <c r="H452" s="211"/>
      <c r="I452" s="213"/>
      <c r="J452" s="213"/>
    </row>
    <row r="453" spans="1:12" x14ac:dyDescent="0.25">
      <c r="A453" s="437" t="s">
        <v>100</v>
      </c>
      <c r="B453" s="438"/>
      <c r="C453" s="438"/>
      <c r="D453" s="438"/>
      <c r="E453" s="438"/>
      <c r="F453" s="438"/>
      <c r="G453" s="438"/>
      <c r="H453" s="438"/>
      <c r="I453" s="439"/>
      <c r="J453" s="217">
        <f>SUM(I449:I452)</f>
        <v>238101.24800000002</v>
      </c>
    </row>
    <row r="454" spans="1:12" x14ac:dyDescent="0.25">
      <c r="A454" s="442" t="s">
        <v>112</v>
      </c>
      <c r="B454" s="442"/>
      <c r="C454" s="442"/>
      <c r="D454" s="442"/>
      <c r="E454" s="442"/>
      <c r="F454" s="442"/>
      <c r="G454" s="442"/>
      <c r="H454" s="442"/>
      <c r="I454" s="442"/>
      <c r="J454" s="442"/>
    </row>
    <row r="455" spans="1:12" x14ac:dyDescent="0.25">
      <c r="A455" s="443" t="s">
        <v>113</v>
      </c>
      <c r="B455" s="443"/>
      <c r="C455" s="443"/>
      <c r="D455" s="443"/>
      <c r="E455" s="223" t="s">
        <v>114</v>
      </c>
      <c r="F455" s="223" t="s">
        <v>115</v>
      </c>
      <c r="G455" s="234" t="s">
        <v>116</v>
      </c>
      <c r="H455" s="223" t="s">
        <v>91</v>
      </c>
      <c r="I455" s="223" t="s">
        <v>92</v>
      </c>
      <c r="J455" s="213"/>
    </row>
    <row r="456" spans="1:12" x14ac:dyDescent="0.25">
      <c r="A456" s="444" t="s">
        <v>99</v>
      </c>
      <c r="B456" s="445"/>
      <c r="C456" s="446"/>
      <c r="D456" s="211">
        <v>1</v>
      </c>
      <c r="E456" s="235">
        <f>+IF(D456="","",VLOOKUP(A456,$L$4:$O$10,3,FALSE))</f>
        <v>142350</v>
      </c>
      <c r="F456" s="236">
        <f>+IF(D456="","",(VLOOKUP(A456,$L$4:$O$10,4,FALSE))+1)</f>
        <v>1.5821008628015805</v>
      </c>
      <c r="G456" s="219">
        <f>+IFERROR(F456*E456*D456,"")</f>
        <v>225212.05781980499</v>
      </c>
      <c r="H456" s="216">
        <v>1</v>
      </c>
      <c r="I456" s="217">
        <f>IFERROR(G456/H456,"")</f>
        <v>225212.05781980499</v>
      </c>
      <c r="J456" s="213"/>
    </row>
    <row r="457" spans="1:12" ht="13.35" customHeight="1" x14ac:dyDescent="0.25">
      <c r="A457" s="444" t="s">
        <v>93</v>
      </c>
      <c r="B457" s="445"/>
      <c r="C457" s="446"/>
      <c r="D457" s="211">
        <v>1</v>
      </c>
      <c r="E457" s="235">
        <f>+IF(D457="","",VLOOKUP(A457,$L$4:$O$10,3,FALSE))</f>
        <v>77842</v>
      </c>
      <c r="F457" s="236">
        <f>+IF(D457="","",(VLOOKUP(A457,$L$4:$O$10,4,FALSE))+1)</f>
        <v>1.6752877632282406</v>
      </c>
      <c r="G457" s="219">
        <f>+IFERROR(F457*E457*D457,"")</f>
        <v>130407.75006521271</v>
      </c>
      <c r="H457" s="216">
        <f>+H456</f>
        <v>1</v>
      </c>
      <c r="I457" s="217">
        <f t="shared" ref="I457:I458" si="53">IFERROR(G457/H457,"")</f>
        <v>130407.75006521271</v>
      </c>
      <c r="J457" s="213"/>
    </row>
    <row r="458" spans="1:12" ht="13.35" customHeight="1" x14ac:dyDescent="0.25">
      <c r="A458" s="444"/>
      <c r="B458" s="445"/>
      <c r="C458" s="446"/>
      <c r="D458" s="211"/>
      <c r="E458" s="235" t="str">
        <f>+IF(D458="","",VLOOKUP(A458,$L$4:$O$10,3,FALSE))</f>
        <v/>
      </c>
      <c r="F458" s="236" t="str">
        <f>+IF(D458="","",(VLOOKUP(A458,$L$4:$O$10,4,FALSE))+1)</f>
        <v/>
      </c>
      <c r="G458" s="219" t="str">
        <f>+IFERROR(F458*E458*D458,"")</f>
        <v/>
      </c>
      <c r="H458" s="216"/>
      <c r="I458" s="217" t="str">
        <f t="shared" si="53"/>
        <v/>
      </c>
      <c r="J458" s="213"/>
    </row>
    <row r="459" spans="1:12" x14ac:dyDescent="0.25">
      <c r="A459" s="444"/>
      <c r="B459" s="445"/>
      <c r="C459" s="446"/>
      <c r="D459" s="213"/>
      <c r="E459" s="213"/>
      <c r="F459" s="213"/>
      <c r="G459" s="213"/>
      <c r="H459" s="211"/>
      <c r="I459" s="217"/>
      <c r="J459" s="213"/>
    </row>
    <row r="460" spans="1:12" ht="14.45" customHeight="1" x14ac:dyDescent="0.25">
      <c r="A460" s="437" t="s">
        <v>100</v>
      </c>
      <c r="B460" s="438"/>
      <c r="C460" s="438"/>
      <c r="D460" s="438"/>
      <c r="E460" s="438"/>
      <c r="F460" s="438"/>
      <c r="G460" s="438"/>
      <c r="H460" s="438"/>
      <c r="I460" s="439"/>
      <c r="J460" s="217">
        <f>SUM(I456:I459)</f>
        <v>355619.80788501771</v>
      </c>
    </row>
    <row r="461" spans="1:12" ht="13.35" customHeight="1" x14ac:dyDescent="0.25">
      <c r="A461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461" s="462"/>
      <c r="C461" s="462"/>
      <c r="D461" s="462"/>
      <c r="E461" s="462"/>
      <c r="F461" s="462"/>
      <c r="G461" s="462"/>
      <c r="H461" s="462"/>
      <c r="I461" s="462"/>
      <c r="J461" s="462"/>
    </row>
    <row r="462" spans="1:12" ht="37.35" customHeight="1" x14ac:dyDescent="0.25">
      <c r="A462" s="463"/>
      <c r="B462" s="463"/>
      <c r="C462" s="463"/>
      <c r="D462" s="463"/>
      <c r="E462" s="462"/>
      <c r="F462" s="462"/>
      <c r="G462" s="462"/>
      <c r="H462" s="462"/>
      <c r="I462" s="462"/>
      <c r="J462" s="462"/>
    </row>
    <row r="463" spans="1:12" ht="22.5" customHeight="1" x14ac:dyDescent="0.25">
      <c r="A463" s="196" t="s">
        <v>78</v>
      </c>
      <c r="B463" s="464" t="s">
        <v>79</v>
      </c>
      <c r="C463" s="464"/>
      <c r="D463" s="464"/>
      <c r="E463" s="464"/>
      <c r="F463" s="464"/>
      <c r="G463" s="464"/>
      <c r="H463" s="464"/>
      <c r="I463" s="197" t="s">
        <v>80</v>
      </c>
      <c r="J463" s="198" t="s">
        <v>81</v>
      </c>
    </row>
    <row r="464" spans="1:12" ht="14.25" customHeight="1" x14ac:dyDescent="0.25">
      <c r="A464" s="203">
        <v>5.0599999999999996</v>
      </c>
      <c r="B464" s="465" t="str">
        <f>+VLOOKUP(A464,[46]PTO!$B$4:$D$28,2,FALSE)</f>
        <v xml:space="preserve">Suministro e instalación de Manguera de 2" Descarga Plana 2 Tipo Bombero. </v>
      </c>
      <c r="C464" s="466"/>
      <c r="D464" s="466"/>
      <c r="E464" s="466"/>
      <c r="F464" s="466"/>
      <c r="G464" s="466"/>
      <c r="H464" s="467"/>
      <c r="I464" s="204" t="str">
        <f>+VLOOKUP(A464,[46]PTO!$B$4:$D$28,3,FALSE)</f>
        <v>M</v>
      </c>
      <c r="J464" s="205">
        <f>+ROUND(SUM(J472:J501),0)</f>
        <v>22867</v>
      </c>
      <c r="L464" s="232" t="e">
        <f>+VLOOKUP(A464,[46]PTO!$B$5:$E$385,5,FALSE)</f>
        <v>#REF!</v>
      </c>
    </row>
    <row r="465" spans="1:13" x14ac:dyDescent="0.25">
      <c r="A465" s="459" t="s">
        <v>87</v>
      </c>
      <c r="B465" s="459"/>
      <c r="C465" s="459"/>
      <c r="D465" s="459"/>
      <c r="E465" s="459"/>
      <c r="F465" s="459"/>
      <c r="G465" s="459"/>
      <c r="H465" s="459"/>
      <c r="I465" s="442"/>
      <c r="J465" s="442"/>
    </row>
    <row r="466" spans="1:13" x14ac:dyDescent="0.25">
      <c r="A466" s="460" t="s">
        <v>2</v>
      </c>
      <c r="B466" s="460"/>
      <c r="C466" s="460"/>
      <c r="D466" s="460"/>
      <c r="E466" s="460"/>
      <c r="F466" s="223" t="s">
        <v>89</v>
      </c>
      <c r="G466" s="234" t="s">
        <v>90</v>
      </c>
      <c r="H466" s="223" t="s">
        <v>91</v>
      </c>
      <c r="I466" s="223" t="s">
        <v>92</v>
      </c>
      <c r="J466" s="213"/>
    </row>
    <row r="467" spans="1:13" x14ac:dyDescent="0.25">
      <c r="A467" s="451" t="s">
        <v>95</v>
      </c>
      <c r="B467" s="451"/>
      <c r="C467" s="451"/>
      <c r="D467" s="451"/>
      <c r="E467" s="451"/>
      <c r="F467" s="214"/>
      <c r="G467" s="215">
        <v>0.05</v>
      </c>
      <c r="H467" s="216"/>
      <c r="I467" s="217">
        <f>ROUND(J501*G467,0)</f>
        <v>89</v>
      </c>
      <c r="J467" s="213"/>
    </row>
    <row r="468" spans="1:13" x14ac:dyDescent="0.25">
      <c r="A468" s="461"/>
      <c r="B468" s="461"/>
      <c r="C468" s="461"/>
      <c r="D468" s="461"/>
      <c r="E468" s="461"/>
      <c r="F468" s="224" t="str">
        <f>+IF(A468="","",VLOOKUP(A468,[46]MATERIALES!$B$7:$D$1222,2,FALSE))</f>
        <v/>
      </c>
      <c r="G468" s="225" t="str">
        <f>+IF(A468="","",VLOOKUP(A468,[46]MATERIALES!$B$7:$E$1222,3,FALSE))</f>
        <v/>
      </c>
      <c r="H468" s="238">
        <f t="shared" ref="H468" si="54">IFERROR(1/H498,"")</f>
        <v>5.0000000000000001E-3</v>
      </c>
      <c r="I468" s="217" t="str">
        <f>IFERROR((ROUND(G468*H468,0)),"")</f>
        <v/>
      </c>
      <c r="J468" s="213"/>
    </row>
    <row r="469" spans="1:13" x14ac:dyDescent="0.25">
      <c r="A469" s="451"/>
      <c r="B469" s="451"/>
      <c r="C469" s="451"/>
      <c r="D469" s="451"/>
      <c r="E469" s="451"/>
      <c r="F469" s="224" t="str">
        <f>+IF(A469="","",VLOOKUP(A469,[46]MATERIALES!$B$7:$D$1222,2,FALSE))</f>
        <v/>
      </c>
      <c r="G469" s="225" t="str">
        <f>+IF(A469="","",VLOOKUP(A469,[46]MATERIALES!$B$7:$E$1222,3,FALSE))</f>
        <v/>
      </c>
      <c r="H469" s="238" t="str">
        <f>IF(A469="","",IFERROR(1/H499,""))</f>
        <v/>
      </c>
      <c r="I469" s="217" t="str">
        <f t="shared" ref="I469:I470" si="55">IFERROR(G469*H469,"")</f>
        <v/>
      </c>
      <c r="J469" s="213"/>
    </row>
    <row r="470" spans="1:13" x14ac:dyDescent="0.25">
      <c r="A470" s="451"/>
      <c r="B470" s="451"/>
      <c r="C470" s="451"/>
      <c r="D470" s="451"/>
      <c r="E470" s="451"/>
      <c r="F470" s="224" t="str">
        <f>+IF(A470="","",VLOOKUP(A470,[46]MATERIALES!$B$7:$D$1222,2,FALSE))</f>
        <v/>
      </c>
      <c r="G470" s="225" t="str">
        <f>+IF(A470="","",VLOOKUP(A470,[46]MATERIALES!$B$7:$E$1222,3,FALSE))</f>
        <v/>
      </c>
      <c r="H470" s="238" t="str">
        <f>IF(A470="","",IFERROR(1/H498,""))</f>
        <v/>
      </c>
      <c r="I470" s="217" t="str">
        <f t="shared" si="55"/>
        <v/>
      </c>
      <c r="J470" s="213"/>
    </row>
    <row r="471" spans="1:13" x14ac:dyDescent="0.25">
      <c r="A471" s="451"/>
      <c r="B471" s="451"/>
      <c r="C471" s="451"/>
      <c r="D471" s="451"/>
      <c r="E471" s="451"/>
      <c r="F471" s="214"/>
      <c r="G471" s="218"/>
      <c r="H471" s="216"/>
      <c r="I471" s="217"/>
      <c r="J471" s="219"/>
    </row>
    <row r="472" spans="1:13" x14ac:dyDescent="0.25">
      <c r="A472" s="437" t="s">
        <v>100</v>
      </c>
      <c r="B472" s="438"/>
      <c r="C472" s="438"/>
      <c r="D472" s="438"/>
      <c r="E472" s="438"/>
      <c r="F472" s="438"/>
      <c r="G472" s="438"/>
      <c r="H472" s="438"/>
      <c r="I472" s="439"/>
      <c r="J472" s="217">
        <f>+SUM(I467:I471)</f>
        <v>89</v>
      </c>
    </row>
    <row r="473" spans="1:13" x14ac:dyDescent="0.25">
      <c r="A473" s="442" t="s">
        <v>101</v>
      </c>
      <c r="B473" s="442"/>
      <c r="C473" s="442"/>
      <c r="D473" s="442"/>
      <c r="E473" s="442"/>
      <c r="F473" s="442"/>
      <c r="G473" s="442"/>
      <c r="H473" s="442"/>
      <c r="I473" s="442"/>
      <c r="J473" s="442"/>
      <c r="M473" s="192">
        <f>780000/50</f>
        <v>15600</v>
      </c>
    </row>
    <row r="474" spans="1:13" x14ac:dyDescent="0.25">
      <c r="A474" s="452" t="s">
        <v>2</v>
      </c>
      <c r="B474" s="453"/>
      <c r="C474" s="453"/>
      <c r="D474" s="454"/>
      <c r="E474" s="223" t="s">
        <v>3</v>
      </c>
      <c r="F474" s="223" t="s">
        <v>102</v>
      </c>
      <c r="G474" s="223" t="s">
        <v>4</v>
      </c>
      <c r="H474" s="223" t="s">
        <v>103</v>
      </c>
      <c r="I474" s="223" t="s">
        <v>92</v>
      </c>
      <c r="J474" s="213"/>
    </row>
    <row r="475" spans="1:13" x14ac:dyDescent="0.25">
      <c r="A475" s="444" t="s">
        <v>143</v>
      </c>
      <c r="B475" s="445"/>
      <c r="C475" s="445"/>
      <c r="D475" s="445"/>
      <c r="E475" s="224" t="str">
        <f>+IF(A475="","",VLOOKUP(A475,[46]MATERIALES!$B$7:$D$225,2,FALSE))</f>
        <v>m</v>
      </c>
      <c r="F475" s="225">
        <f>+IF(A475="","",VLOOKUP(A475,[46]MATERIALES!$B$7:$E$225,3,FALSE))</f>
        <v>20000</v>
      </c>
      <c r="G475" s="226">
        <v>1</v>
      </c>
      <c r="H475" s="227">
        <v>0.05</v>
      </c>
      <c r="I475" s="228">
        <f t="shared" ref="I475:I483" si="56">IFERROR((ROUND((F475*G475*(1+H475)),0)),"")</f>
        <v>21000</v>
      </c>
      <c r="J475" s="213"/>
    </row>
    <row r="476" spans="1:13" x14ac:dyDescent="0.25">
      <c r="A476" s="444"/>
      <c r="B476" s="445"/>
      <c r="C476" s="445"/>
      <c r="D476" s="445"/>
      <c r="E476" s="224" t="str">
        <f>+IF(A476="","",VLOOKUP(A476,[46]MATERIALES!$B$7:$D$225,2,FALSE))</f>
        <v/>
      </c>
      <c r="F476" s="225" t="str">
        <f>+IF(A476="","",VLOOKUP(A476,[46]MATERIALES!$B$7:$E$225,3,FALSE))</f>
        <v/>
      </c>
      <c r="G476" s="226"/>
      <c r="H476" s="227"/>
      <c r="I476" s="228" t="str">
        <f t="shared" si="56"/>
        <v/>
      </c>
      <c r="J476" s="213"/>
    </row>
    <row r="477" spans="1:13" x14ac:dyDescent="0.25">
      <c r="A477" s="444"/>
      <c r="B477" s="445"/>
      <c r="C477" s="445"/>
      <c r="D477" s="445"/>
      <c r="E477" s="224" t="str">
        <f>+IF(A477="","",VLOOKUP(A477,[46]MATERIALES!$B$7:$D$225,2,FALSE))</f>
        <v/>
      </c>
      <c r="F477" s="225" t="str">
        <f>+IF(A477="","",VLOOKUP(A477,[46]MATERIALES!$B$7:$E$225,3,FALSE))</f>
        <v/>
      </c>
      <c r="G477" s="226"/>
      <c r="H477" s="227"/>
      <c r="I477" s="228" t="str">
        <f t="shared" si="56"/>
        <v/>
      </c>
      <c r="J477" s="213"/>
    </row>
    <row r="478" spans="1:13" x14ac:dyDescent="0.25">
      <c r="A478" s="444"/>
      <c r="B478" s="445"/>
      <c r="C478" s="445"/>
      <c r="D478" s="445"/>
      <c r="E478" s="224" t="str">
        <f>+IF(A478="","",VLOOKUP(A478,[46]MATERIALES!$B$7:$D$225,2,FALSE))</f>
        <v/>
      </c>
      <c r="F478" s="225" t="str">
        <f>+IF(A478="","",VLOOKUP(A478,[46]MATERIALES!$B$7:$E$225,3,FALSE))</f>
        <v/>
      </c>
      <c r="G478" s="226"/>
      <c r="H478" s="227"/>
      <c r="I478" s="228" t="str">
        <f t="shared" si="56"/>
        <v/>
      </c>
      <c r="J478" s="213"/>
    </row>
    <row r="479" spans="1:13" x14ac:dyDescent="0.25">
      <c r="A479" s="444"/>
      <c r="B479" s="445"/>
      <c r="C479" s="445"/>
      <c r="D479" s="445"/>
      <c r="E479" s="224" t="str">
        <f>+IF(A479="","",VLOOKUP(A479,[46]MATERIALES!$B$7:$D$225,2,FALSE))</f>
        <v/>
      </c>
      <c r="F479" s="225" t="str">
        <f>+IF(A479="","",VLOOKUP(A479,[46]MATERIALES!$B$7:$E$225,3,FALSE))</f>
        <v/>
      </c>
      <c r="G479" s="226"/>
      <c r="H479" s="227"/>
      <c r="I479" s="228" t="str">
        <f t="shared" si="56"/>
        <v/>
      </c>
      <c r="J479" s="213"/>
    </row>
    <row r="480" spans="1:13" x14ac:dyDescent="0.25">
      <c r="A480" s="444"/>
      <c r="B480" s="445"/>
      <c r="C480" s="445"/>
      <c r="D480" s="445"/>
      <c r="E480" s="224" t="str">
        <f>+IF(A480="","",VLOOKUP(A480,[46]MATERIALES!$B$7:$D$225,2,FALSE))</f>
        <v/>
      </c>
      <c r="F480" s="225" t="str">
        <f>+IF(A480="","",VLOOKUP(A480,[46]MATERIALES!$B$7:$E$225,3,FALSE))</f>
        <v/>
      </c>
      <c r="G480" s="226"/>
      <c r="H480" s="227"/>
      <c r="I480" s="228" t="str">
        <f t="shared" si="56"/>
        <v/>
      </c>
      <c r="J480" s="213"/>
    </row>
    <row r="481" spans="1:10" x14ac:dyDescent="0.25">
      <c r="A481" s="444"/>
      <c r="B481" s="445"/>
      <c r="C481" s="445"/>
      <c r="D481" s="445"/>
      <c r="E481" s="224" t="str">
        <f>+IF(A481="","",VLOOKUP(A481,[46]MATERIALES!$B$7:$D$225,2,FALSE))</f>
        <v/>
      </c>
      <c r="F481" s="225" t="str">
        <f>+IF(A481="","",VLOOKUP(A481,[46]MATERIALES!$B$7:$E$225,3,FALSE))</f>
        <v/>
      </c>
      <c r="G481" s="226"/>
      <c r="H481" s="227"/>
      <c r="I481" s="228" t="str">
        <f t="shared" si="56"/>
        <v/>
      </c>
      <c r="J481" s="213"/>
    </row>
    <row r="482" spans="1:10" x14ac:dyDescent="0.25">
      <c r="A482" s="444"/>
      <c r="B482" s="445"/>
      <c r="C482" s="445"/>
      <c r="D482" s="445"/>
      <c r="E482" s="224" t="str">
        <f>+IF(A482="","",VLOOKUP(A482,[46]MATERIALES!$B$7:$D$225,2,FALSE))</f>
        <v/>
      </c>
      <c r="F482" s="225" t="str">
        <f>+IF(A482="","",VLOOKUP(A482,[46]MATERIALES!$B$7:$E$225,3,FALSE))</f>
        <v/>
      </c>
      <c r="G482" s="226"/>
      <c r="H482" s="227"/>
      <c r="I482" s="228" t="str">
        <f t="shared" si="56"/>
        <v/>
      </c>
      <c r="J482" s="213"/>
    </row>
    <row r="483" spans="1:10" x14ac:dyDescent="0.25">
      <c r="A483" s="444"/>
      <c r="B483" s="445"/>
      <c r="C483" s="445"/>
      <c r="D483" s="445"/>
      <c r="E483" s="224" t="str">
        <f>+IF(A483="","",VLOOKUP(A483,[46]MATERIALES!$B$7:$D$225,2,FALSE))</f>
        <v/>
      </c>
      <c r="F483" s="225" t="str">
        <f>+IF(A483="","",VLOOKUP(A483,[46]MATERIALES!$B$7:$E$225,3,FALSE))</f>
        <v/>
      </c>
      <c r="G483" s="226"/>
      <c r="H483" s="227"/>
      <c r="I483" s="228" t="str">
        <f t="shared" si="56"/>
        <v/>
      </c>
      <c r="J483" s="213"/>
    </row>
    <row r="484" spans="1:10" x14ac:dyDescent="0.25">
      <c r="A484" s="444"/>
      <c r="B484" s="445"/>
      <c r="C484" s="445"/>
      <c r="D484" s="445"/>
      <c r="E484" s="224"/>
      <c r="F484" s="225"/>
      <c r="G484" s="226"/>
      <c r="H484" s="227"/>
      <c r="I484" s="228"/>
      <c r="J484" s="213"/>
    </row>
    <row r="485" spans="1:10" x14ac:dyDescent="0.25">
      <c r="A485" s="444"/>
      <c r="B485" s="445"/>
      <c r="C485" s="445"/>
      <c r="D485" s="445"/>
      <c r="E485" s="224"/>
      <c r="F485" s="225"/>
      <c r="G485" s="226"/>
      <c r="H485" s="227"/>
      <c r="I485" s="228"/>
      <c r="J485" s="213"/>
    </row>
    <row r="486" spans="1:10" x14ac:dyDescent="0.25">
      <c r="A486" s="444"/>
      <c r="B486" s="445"/>
      <c r="C486" s="445"/>
      <c r="D486" s="445"/>
      <c r="E486" s="224"/>
      <c r="F486" s="225"/>
      <c r="G486" s="226"/>
      <c r="H486" s="227"/>
      <c r="I486" s="228"/>
      <c r="J486" s="213"/>
    </row>
    <row r="487" spans="1:10" x14ac:dyDescent="0.25">
      <c r="A487" s="444"/>
      <c r="B487" s="445"/>
      <c r="C487" s="445"/>
      <c r="D487" s="445"/>
      <c r="E487" s="213"/>
      <c r="F487" s="214"/>
      <c r="G487" s="218"/>
      <c r="H487" s="227"/>
      <c r="I487" s="217">
        <f>IFERROR(F487*G487*(1+H487),"")</f>
        <v>0</v>
      </c>
      <c r="J487" s="213"/>
    </row>
    <row r="488" spans="1:10" x14ac:dyDescent="0.25">
      <c r="A488" s="437" t="s">
        <v>100</v>
      </c>
      <c r="B488" s="438"/>
      <c r="C488" s="438"/>
      <c r="D488" s="438"/>
      <c r="E488" s="438"/>
      <c r="F488" s="438"/>
      <c r="G488" s="438"/>
      <c r="H488" s="438"/>
      <c r="I488" s="439"/>
      <c r="J488" s="217">
        <f>SUM(I475:I487)</f>
        <v>21000</v>
      </c>
    </row>
    <row r="489" spans="1:10" x14ac:dyDescent="0.25">
      <c r="A489" s="442" t="s">
        <v>106</v>
      </c>
      <c r="B489" s="442"/>
      <c r="C489" s="442"/>
      <c r="D489" s="442"/>
      <c r="E489" s="442"/>
      <c r="F489" s="442"/>
      <c r="G489" s="442"/>
      <c r="H489" s="442"/>
      <c r="I489" s="442"/>
      <c r="J489" s="442"/>
    </row>
    <row r="490" spans="1:10" ht="22.5" x14ac:dyDescent="0.25">
      <c r="A490" s="443" t="s">
        <v>107</v>
      </c>
      <c r="B490" s="443"/>
      <c r="C490" s="443"/>
      <c r="D490" s="443"/>
      <c r="E490" s="223" t="s">
        <v>108</v>
      </c>
      <c r="F490" s="230" t="s">
        <v>109</v>
      </c>
      <c r="G490" s="223" t="s">
        <v>110</v>
      </c>
      <c r="H490" s="223" t="s">
        <v>111</v>
      </c>
      <c r="I490" s="223" t="s">
        <v>92</v>
      </c>
      <c r="J490" s="213"/>
    </row>
    <row r="491" spans="1:10" x14ac:dyDescent="0.25">
      <c r="A491" s="447"/>
      <c r="B491" s="447"/>
      <c r="C491" s="447"/>
      <c r="D491" s="447"/>
      <c r="E491" s="216"/>
      <c r="F491" s="224"/>
      <c r="G491" s="231"/>
      <c r="H491" s="216"/>
      <c r="I491" s="217"/>
      <c r="J491" s="213"/>
    </row>
    <row r="492" spans="1:10" x14ac:dyDescent="0.25">
      <c r="A492" s="447"/>
      <c r="B492" s="447"/>
      <c r="C492" s="447"/>
      <c r="D492" s="447"/>
      <c r="E492" s="216" t="str">
        <f>+IF(A492="","",VLOOKUP(A492,[46]MATERIALES!$B$7:$E$1222,2,FALSE))</f>
        <v/>
      </c>
      <c r="F492" s="224"/>
      <c r="G492" s="231" t="str">
        <f>+IF(A492="","",VLOOKUP(A492,[46]MATERIALES!$B$7:$E$1222,4,FALSE))</f>
        <v/>
      </c>
      <c r="H492" s="216" t="str">
        <f>+IF(A492="","",VLOOKUP(A492,[46]MATERIALES!$B$7:$E$1222,3,FALSE))</f>
        <v/>
      </c>
      <c r="I492" s="217" t="str">
        <f>IFERROR(G492*H492*F492,"")</f>
        <v/>
      </c>
      <c r="J492" s="213"/>
    </row>
    <row r="493" spans="1:10" x14ac:dyDescent="0.25">
      <c r="A493" s="447"/>
      <c r="B493" s="447"/>
      <c r="C493" s="447"/>
      <c r="D493" s="447"/>
      <c r="E493" s="213"/>
      <c r="F493" s="214"/>
      <c r="G493" s="233"/>
      <c r="H493" s="216"/>
      <c r="I493" s="219"/>
      <c r="J493" s="213"/>
    </row>
    <row r="494" spans="1:10" x14ac:dyDescent="0.25">
      <c r="A494" s="447"/>
      <c r="B494" s="447"/>
      <c r="C494" s="447"/>
      <c r="D494" s="447"/>
      <c r="E494" s="213"/>
      <c r="F494" s="213"/>
      <c r="G494" s="213"/>
      <c r="H494" s="211"/>
      <c r="I494" s="213"/>
      <c r="J494" s="213"/>
    </row>
    <row r="495" spans="1:10" x14ac:dyDescent="0.25">
      <c r="A495" s="437" t="s">
        <v>100</v>
      </c>
      <c r="B495" s="438"/>
      <c r="C495" s="438"/>
      <c r="D495" s="438"/>
      <c r="E495" s="438"/>
      <c r="F495" s="438"/>
      <c r="G495" s="438"/>
      <c r="H495" s="438"/>
      <c r="I495" s="439"/>
      <c r="J495" s="217">
        <f>SUM(I491:I494)</f>
        <v>0</v>
      </c>
    </row>
    <row r="496" spans="1:10" x14ac:dyDescent="0.25">
      <c r="A496" s="442" t="s">
        <v>112</v>
      </c>
      <c r="B496" s="442"/>
      <c r="C496" s="442"/>
      <c r="D496" s="442"/>
      <c r="E496" s="442"/>
      <c r="F496" s="442"/>
      <c r="G496" s="442"/>
      <c r="H496" s="442"/>
      <c r="I496" s="442"/>
      <c r="J496" s="442"/>
    </row>
    <row r="497" spans="1:12" x14ac:dyDescent="0.25">
      <c r="A497" s="443" t="s">
        <v>113</v>
      </c>
      <c r="B497" s="443"/>
      <c r="C497" s="443"/>
      <c r="D497" s="443"/>
      <c r="E497" s="223" t="s">
        <v>114</v>
      </c>
      <c r="F497" s="223" t="s">
        <v>115</v>
      </c>
      <c r="G497" s="234" t="s">
        <v>116</v>
      </c>
      <c r="H497" s="223" t="s">
        <v>91</v>
      </c>
      <c r="I497" s="223" t="s">
        <v>92</v>
      </c>
      <c r="J497" s="213"/>
    </row>
    <row r="498" spans="1:12" x14ac:dyDescent="0.25">
      <c r="A498" s="444" t="s">
        <v>99</v>
      </c>
      <c r="B498" s="445"/>
      <c r="C498" s="446"/>
      <c r="D498" s="211">
        <v>1</v>
      </c>
      <c r="E498" s="235">
        <f>+IF(D498="","",VLOOKUP(A498,$L$4:$O$10,3,FALSE))</f>
        <v>142350</v>
      </c>
      <c r="F498" s="236">
        <f>+IF(D498="","",(VLOOKUP(A498,$L$4:$O$10,4,FALSE))+1)</f>
        <v>1.5821008628015805</v>
      </c>
      <c r="G498" s="219">
        <f>+IFERROR(F498*E498*D498,"")</f>
        <v>225212.05781980499</v>
      </c>
      <c r="H498" s="216">
        <v>200</v>
      </c>
      <c r="I498" s="217">
        <f>IFERROR(G498/H498,"")</f>
        <v>1126.0602890990249</v>
      </c>
      <c r="J498" s="213"/>
    </row>
    <row r="499" spans="1:12" ht="13.35" customHeight="1" x14ac:dyDescent="0.25">
      <c r="A499" s="444" t="s">
        <v>93</v>
      </c>
      <c r="B499" s="445"/>
      <c r="C499" s="446"/>
      <c r="D499" s="211">
        <v>1</v>
      </c>
      <c r="E499" s="235">
        <f>+IF(D499="","",VLOOKUP(A499,$L$4:$O$10,3,FALSE))</f>
        <v>77842</v>
      </c>
      <c r="F499" s="236">
        <f>+IF(D499="","",(VLOOKUP(A499,$L$4:$O$10,4,FALSE))+1)</f>
        <v>1.6752877632282406</v>
      </c>
      <c r="G499" s="219">
        <f>+IFERROR(F499*E499*D499,"")</f>
        <v>130407.75006521271</v>
      </c>
      <c r="H499" s="216">
        <f>+H498</f>
        <v>200</v>
      </c>
      <c r="I499" s="217">
        <f t="shared" ref="I499" si="57">IFERROR(G499/H499,"")</f>
        <v>652.03875032606356</v>
      </c>
      <c r="J499" s="213"/>
    </row>
    <row r="500" spans="1:12" x14ac:dyDescent="0.25">
      <c r="A500" s="444"/>
      <c r="B500" s="445"/>
      <c r="C500" s="446"/>
      <c r="D500" s="213"/>
      <c r="E500" s="213"/>
      <c r="F500" s="213"/>
      <c r="G500" s="213"/>
      <c r="H500" s="211"/>
      <c r="I500" s="217"/>
      <c r="J500" s="213"/>
    </row>
    <row r="501" spans="1:12" ht="14.45" customHeight="1" x14ac:dyDescent="0.25">
      <c r="A501" s="437" t="s">
        <v>100</v>
      </c>
      <c r="B501" s="438"/>
      <c r="C501" s="438"/>
      <c r="D501" s="438"/>
      <c r="E501" s="438"/>
      <c r="F501" s="438"/>
      <c r="G501" s="438"/>
      <c r="H501" s="438"/>
      <c r="I501" s="439"/>
      <c r="J501" s="217">
        <f>SUM(I498:I500)</f>
        <v>1778.0990394250884</v>
      </c>
    </row>
    <row r="502" spans="1:12" ht="13.35" customHeight="1" x14ac:dyDescent="0.25">
      <c r="A502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502" s="462"/>
      <c r="C502" s="462"/>
      <c r="D502" s="462"/>
      <c r="E502" s="462"/>
      <c r="F502" s="462"/>
      <c r="G502" s="462"/>
      <c r="H502" s="462"/>
      <c r="I502" s="462"/>
      <c r="J502" s="462"/>
    </row>
    <row r="503" spans="1:12" ht="36" customHeight="1" x14ac:dyDescent="0.25">
      <c r="A503" s="463"/>
      <c r="B503" s="463"/>
      <c r="C503" s="463"/>
      <c r="D503" s="463"/>
      <c r="E503" s="462"/>
      <c r="F503" s="462"/>
      <c r="G503" s="462"/>
      <c r="H503" s="462"/>
      <c r="I503" s="462"/>
      <c r="J503" s="462"/>
    </row>
    <row r="504" spans="1:12" ht="19.7" customHeight="1" x14ac:dyDescent="0.25">
      <c r="A504" s="242" t="s">
        <v>78</v>
      </c>
      <c r="B504" s="468" t="s">
        <v>79</v>
      </c>
      <c r="C504" s="468"/>
      <c r="D504" s="468"/>
      <c r="E504" s="468"/>
      <c r="F504" s="468"/>
      <c r="G504" s="468"/>
      <c r="H504" s="468"/>
      <c r="I504" s="243" t="s">
        <v>80</v>
      </c>
      <c r="J504" s="244" t="s">
        <v>81</v>
      </c>
    </row>
    <row r="505" spans="1:12" ht="33.950000000000003" customHeight="1" x14ac:dyDescent="0.25">
      <c r="A505" s="203">
        <v>5.07</v>
      </c>
      <c r="B505" s="469" t="str">
        <f>+VLOOKUP(A505,[46]PTO!$B$4:$D$28,2,FALSE)</f>
        <v xml:space="preserve">Construccion de Caja de inspeccion de 1,0x1,0x1,0 m, en concreto de 21 MPa, Incluye excavacion, formaleta, acero, suministro, transporte e instalación del concreto, mano de obra, vibrado, curado y protección. </v>
      </c>
      <c r="C505" s="470"/>
      <c r="D505" s="470"/>
      <c r="E505" s="470"/>
      <c r="F505" s="470"/>
      <c r="G505" s="470"/>
      <c r="H505" s="471"/>
      <c r="I505" s="204" t="str">
        <f>+VLOOKUP(A505,[46]PTO!$B$4:$D$28,3,FALSE)</f>
        <v>UN</v>
      </c>
      <c r="J505" s="245">
        <f>+ROUND(SUM(J511:J540),0)</f>
        <v>1986664</v>
      </c>
      <c r="L505" s="246" t="e">
        <f>+VLOOKUP(A505,[46]PTO!$B$5:$E$385,5,FALSE)</f>
        <v>#REF!</v>
      </c>
    </row>
    <row r="506" spans="1:12" x14ac:dyDescent="0.25">
      <c r="A506" s="459" t="s">
        <v>87</v>
      </c>
      <c r="B506" s="459"/>
      <c r="C506" s="459"/>
      <c r="D506" s="459"/>
      <c r="E506" s="459"/>
      <c r="F506" s="459"/>
      <c r="G506" s="459"/>
      <c r="H506" s="459"/>
      <c r="I506" s="442"/>
      <c r="J506" s="442"/>
    </row>
    <row r="507" spans="1:12" x14ac:dyDescent="0.25">
      <c r="A507" s="460" t="s">
        <v>2</v>
      </c>
      <c r="B507" s="460"/>
      <c r="C507" s="460"/>
      <c r="D507" s="460"/>
      <c r="E507" s="460"/>
      <c r="F507" s="223" t="s">
        <v>89</v>
      </c>
      <c r="G507" s="234" t="s">
        <v>90</v>
      </c>
      <c r="H507" s="223" t="s">
        <v>91</v>
      </c>
      <c r="I507" s="223" t="s">
        <v>92</v>
      </c>
      <c r="J507" s="213"/>
    </row>
    <row r="508" spans="1:12" x14ac:dyDescent="0.25">
      <c r="A508" s="451" t="s">
        <v>95</v>
      </c>
      <c r="B508" s="451"/>
      <c r="C508" s="451"/>
      <c r="D508" s="451"/>
      <c r="E508" s="451"/>
      <c r="F508" s="214"/>
      <c r="G508" s="215">
        <v>0.05</v>
      </c>
      <c r="H508" s="216"/>
      <c r="I508" s="247">
        <f>+J540*G508</f>
        <v>33634.740353014458</v>
      </c>
      <c r="J508" s="213"/>
    </row>
    <row r="509" spans="1:12" x14ac:dyDescent="0.25">
      <c r="A509" s="451"/>
      <c r="B509" s="451"/>
      <c r="C509" s="451"/>
      <c r="D509" s="451"/>
      <c r="E509" s="451"/>
      <c r="F509" s="214"/>
      <c r="G509" s="218"/>
      <c r="H509" s="238" t="str">
        <f>IF(A509="","",IFERROR(1/H536,""))</f>
        <v/>
      </c>
      <c r="I509" s="247"/>
      <c r="J509" s="213"/>
    </row>
    <row r="510" spans="1:12" x14ac:dyDescent="0.25">
      <c r="A510" s="451"/>
      <c r="B510" s="451"/>
      <c r="C510" s="451"/>
      <c r="D510" s="451"/>
      <c r="E510" s="451"/>
      <c r="F510" s="214"/>
      <c r="G510" s="218"/>
      <c r="H510" s="216"/>
      <c r="I510" s="247"/>
      <c r="J510" s="219"/>
    </row>
    <row r="511" spans="1:12" x14ac:dyDescent="0.25">
      <c r="A511" s="437" t="s">
        <v>100</v>
      </c>
      <c r="B511" s="438"/>
      <c r="C511" s="438"/>
      <c r="D511" s="438"/>
      <c r="E511" s="438"/>
      <c r="F511" s="438"/>
      <c r="G511" s="438"/>
      <c r="H511" s="438"/>
      <c r="I511" s="439"/>
      <c r="J511" s="247">
        <f>+SUM(I508:I510)</f>
        <v>33634.740353014458</v>
      </c>
    </row>
    <row r="512" spans="1:12" x14ac:dyDescent="0.25">
      <c r="A512" s="442" t="s">
        <v>101</v>
      </c>
      <c r="B512" s="442"/>
      <c r="C512" s="442"/>
      <c r="D512" s="442"/>
      <c r="E512" s="442"/>
      <c r="F512" s="442"/>
      <c r="G512" s="442"/>
      <c r="H512" s="442"/>
      <c r="I512" s="442"/>
      <c r="J512" s="442"/>
    </row>
    <row r="513" spans="1:10" x14ac:dyDescent="0.25">
      <c r="A513" s="452" t="s">
        <v>2</v>
      </c>
      <c r="B513" s="453"/>
      <c r="C513" s="453"/>
      <c r="D513" s="454"/>
      <c r="E513" s="223" t="s">
        <v>3</v>
      </c>
      <c r="F513" s="223" t="s">
        <v>102</v>
      </c>
      <c r="G513" s="223" t="s">
        <v>4</v>
      </c>
      <c r="H513" s="223" t="s">
        <v>103</v>
      </c>
      <c r="I513" s="223" t="s">
        <v>92</v>
      </c>
      <c r="J513" s="213"/>
    </row>
    <row r="514" spans="1:10" x14ac:dyDescent="0.25">
      <c r="A514" s="448" t="s">
        <v>138</v>
      </c>
      <c r="B514" s="449"/>
      <c r="C514" s="449"/>
      <c r="D514" s="449"/>
      <c r="E514" s="224" t="str">
        <f>+IF(A514="","",VLOOKUP(A514,[46]MATERIALES!$B$7:$D$225,2,FALSE))</f>
        <v>m3</v>
      </c>
      <c r="F514" s="225">
        <f>+IF(A514="","",VLOOKUP(A514,[46]MATERIALES!$B$7:$E$225,3,FALSE))*1.3</f>
        <v>1093287</v>
      </c>
      <c r="G514" s="211">
        <f>4*1*1*0.1+1*1*2*0.1</f>
        <v>0.60000000000000009</v>
      </c>
      <c r="H514" s="248"/>
      <c r="I514" s="247">
        <f t="shared" ref="I514:I520" si="58">IFERROR(F514*G514*(1+H514),"")</f>
        <v>655972.20000000007</v>
      </c>
      <c r="J514" s="213"/>
    </row>
    <row r="515" spans="1:10" x14ac:dyDescent="0.25">
      <c r="A515" s="448" t="s">
        <v>144</v>
      </c>
      <c r="B515" s="449"/>
      <c r="C515" s="449"/>
      <c r="D515" s="449"/>
      <c r="E515" s="224" t="str">
        <f>+IF(A515="","",VLOOKUP(A515,[46]MATERIALES!$B$7:$D$225,2,FALSE))</f>
        <v>UN</v>
      </c>
      <c r="F515" s="225">
        <f>+IF(A515="","",VLOOKUP(A515,[46]MATERIALES!$B$7:$E$225,3,FALSE))</f>
        <v>30000</v>
      </c>
      <c r="G515" s="211">
        <v>8</v>
      </c>
      <c r="H515" s="248"/>
      <c r="I515" s="247">
        <f t="shared" si="58"/>
        <v>240000</v>
      </c>
      <c r="J515" s="213"/>
    </row>
    <row r="516" spans="1:10" x14ac:dyDescent="0.25">
      <c r="A516" s="448" t="s">
        <v>145</v>
      </c>
      <c r="B516" s="449"/>
      <c r="C516" s="449"/>
      <c r="D516" s="449"/>
      <c r="E516" s="224" t="str">
        <f>+IF(A516="","",VLOOKUP(A516,[46]MATERIALES!$B$7:$D$225,2,FALSE))</f>
        <v>M3</v>
      </c>
      <c r="F516" s="225">
        <f>+IF(A516="","",VLOOKUP(A516,[46]MATERIALES!$B$7:$E$225,3,FALSE))</f>
        <v>62600</v>
      </c>
      <c r="G516" s="211">
        <v>1</v>
      </c>
      <c r="H516" s="248"/>
      <c r="I516" s="247">
        <f t="shared" si="58"/>
        <v>62600</v>
      </c>
      <c r="J516" s="213"/>
    </row>
    <row r="517" spans="1:10" x14ac:dyDescent="0.25">
      <c r="A517" s="448" t="s">
        <v>146</v>
      </c>
      <c r="B517" s="449"/>
      <c r="C517" s="449"/>
      <c r="D517" s="449"/>
      <c r="E517" s="224" t="str">
        <f>+IF(A517="","",VLOOKUP(A517,[46]MATERIALES!$B$7:$D$225,2,FALSE))</f>
        <v>m2</v>
      </c>
      <c r="F517" s="225">
        <f>+IF(A517="","",VLOOKUP(A517,[46]MATERIALES!$B$7:$E$225,3,FALSE))</f>
        <v>73878</v>
      </c>
      <c r="G517" s="211">
        <f>4*1</f>
        <v>4</v>
      </c>
      <c r="H517" s="248"/>
      <c r="I517" s="247">
        <f t="shared" si="58"/>
        <v>295512</v>
      </c>
      <c r="J517" s="213"/>
    </row>
    <row r="518" spans="1:10" x14ac:dyDescent="0.25">
      <c r="A518" s="448"/>
      <c r="B518" s="449"/>
      <c r="C518" s="449"/>
      <c r="D518" s="449"/>
      <c r="E518" s="224" t="str">
        <f>+IF(A518="","",VLOOKUP(A518,[46]MATERIALES!$B$7:$D$225,2,FALSE))</f>
        <v/>
      </c>
      <c r="F518" s="225" t="str">
        <f>+IF(A518="","",VLOOKUP(A518,[46]MATERIALES!$B$7:$E$225,3,FALSE))</f>
        <v/>
      </c>
      <c r="G518" s="226"/>
      <c r="H518" s="248"/>
      <c r="I518" s="247" t="str">
        <f t="shared" si="58"/>
        <v/>
      </c>
      <c r="J518" s="213"/>
    </row>
    <row r="519" spans="1:10" x14ac:dyDescent="0.25">
      <c r="A519" s="448"/>
      <c r="B519" s="449"/>
      <c r="C519" s="449"/>
      <c r="D519" s="449"/>
      <c r="E519" s="224" t="str">
        <f>+IF(A519="","",VLOOKUP(A519,[46]MATERIALES!$B$7:$D$225,2,FALSE))</f>
        <v/>
      </c>
      <c r="F519" s="225" t="str">
        <f>+IF(A519="","",VLOOKUP(A519,[46]MATERIALES!$B$7:$E$225,3,FALSE))</f>
        <v/>
      </c>
      <c r="G519" s="226"/>
      <c r="H519" s="248"/>
      <c r="I519" s="247" t="str">
        <f t="shared" si="58"/>
        <v/>
      </c>
      <c r="J519" s="213"/>
    </row>
    <row r="520" spans="1:10" x14ac:dyDescent="0.25">
      <c r="A520" s="448"/>
      <c r="B520" s="449"/>
      <c r="C520" s="449"/>
      <c r="D520" s="449"/>
      <c r="E520" s="224" t="str">
        <f>+IF(A520="","",VLOOKUP(A520,[46]MATERIALES!$B$7:$D$225,2,FALSE))</f>
        <v/>
      </c>
      <c r="F520" s="225" t="str">
        <f>+IF(A520="","",VLOOKUP(A520,[46]MATERIALES!$B$7:$E$225,3,FALSE))</f>
        <v/>
      </c>
      <c r="G520" s="226"/>
      <c r="H520" s="248"/>
      <c r="I520" s="247" t="str">
        <f t="shared" si="58"/>
        <v/>
      </c>
      <c r="J520" s="213"/>
    </row>
    <row r="521" spans="1:10" x14ac:dyDescent="0.25">
      <c r="A521" s="444"/>
      <c r="B521" s="445"/>
      <c r="C521" s="445"/>
      <c r="D521" s="445"/>
      <c r="E521" s="224"/>
      <c r="F521" s="225"/>
      <c r="G521" s="226"/>
      <c r="H521" s="248"/>
      <c r="I521" s="249">
        <f t="shared" ref="I521:I523" si="59">IFERROR((ROUND((F521*G521*(1+H521)),0)),"")</f>
        <v>0</v>
      </c>
      <c r="J521" s="213"/>
    </row>
    <row r="522" spans="1:10" x14ac:dyDescent="0.25">
      <c r="A522" s="444"/>
      <c r="B522" s="445"/>
      <c r="C522" s="445"/>
      <c r="D522" s="445"/>
      <c r="E522" s="224" t="str">
        <f>+IF(A522="","",VLOOKUP(A522,[46]MATERIALES!$B$7:$D$225,2,FALSE))</f>
        <v/>
      </c>
      <c r="F522" s="225" t="str">
        <f>+IF(A522="","",VLOOKUP(A522,[46]MATERIALES!$B$7:$E$225,3,FALSE))</f>
        <v/>
      </c>
      <c r="G522" s="238"/>
      <c r="H522" s="248"/>
      <c r="I522" s="249" t="str">
        <f t="shared" si="59"/>
        <v/>
      </c>
      <c r="J522" s="213"/>
    </row>
    <row r="523" spans="1:10" x14ac:dyDescent="0.25">
      <c r="A523" s="444"/>
      <c r="B523" s="445"/>
      <c r="C523" s="445"/>
      <c r="D523" s="445"/>
      <c r="E523" s="224" t="str">
        <f>+IF(A523="","",VLOOKUP(A523,[46]MATERIALES!$B$7:$D$225,2,FALSE))</f>
        <v/>
      </c>
      <c r="F523" s="225" t="str">
        <f>+IF(A523="","",VLOOKUP(A523,[46]MATERIALES!$B$7:$E$225,3,FALSE))</f>
        <v/>
      </c>
      <c r="G523" s="226"/>
      <c r="H523" s="248"/>
      <c r="I523" s="249" t="str">
        <f t="shared" si="59"/>
        <v/>
      </c>
      <c r="J523" s="213"/>
    </row>
    <row r="524" spans="1:10" x14ac:dyDescent="0.25">
      <c r="A524" s="444"/>
      <c r="B524" s="445"/>
      <c r="C524" s="445"/>
      <c r="D524" s="445"/>
      <c r="E524" s="224" t="str">
        <f>+IF(A524="","",VLOOKUP(A524,[46]MATERIALES!$B$7:$D$225,2,FALSE))</f>
        <v/>
      </c>
      <c r="F524" s="225" t="str">
        <f>+IF(A524="","",VLOOKUP(A524,[46]MATERIALES!$B$7:$E$225,3,FALSE))</f>
        <v/>
      </c>
      <c r="G524" s="226"/>
      <c r="H524" s="248"/>
      <c r="I524" s="247" t="str">
        <f t="shared" ref="I524" si="60">IFERROR(F524*G524*(1+H524),"")</f>
        <v/>
      </c>
      <c r="J524" s="213"/>
    </row>
    <row r="525" spans="1:10" x14ac:dyDescent="0.25">
      <c r="A525" s="444"/>
      <c r="B525" s="445"/>
      <c r="C525" s="445"/>
      <c r="D525" s="445"/>
      <c r="E525" s="224" t="str">
        <f>+IF(A525="","",VLOOKUP(A525,[46]MATERIALES!$B$7:$D$225,2,FALSE))</f>
        <v/>
      </c>
      <c r="F525" s="225" t="str">
        <f>+IF(A525="","",VLOOKUP(A525,[46]MATERIALES!$B$7:$E$225,3,FALSE))</f>
        <v/>
      </c>
      <c r="G525" s="226"/>
      <c r="H525" s="248"/>
      <c r="I525" s="247" t="str">
        <f>IFERROR(F525*G525*(1+H525),"")</f>
        <v/>
      </c>
      <c r="J525" s="213"/>
    </row>
    <row r="526" spans="1:10" x14ac:dyDescent="0.25">
      <c r="A526" s="437" t="s">
        <v>100</v>
      </c>
      <c r="B526" s="438"/>
      <c r="C526" s="438"/>
      <c r="D526" s="438"/>
      <c r="E526" s="438"/>
      <c r="F526" s="438"/>
      <c r="G526" s="438"/>
      <c r="H526" s="438"/>
      <c r="I526" s="439"/>
      <c r="J526" s="250">
        <f>SUM(I514:I525)</f>
        <v>1254084.2000000002</v>
      </c>
    </row>
    <row r="527" spans="1:10" x14ac:dyDescent="0.25">
      <c r="A527" s="442" t="s">
        <v>106</v>
      </c>
      <c r="B527" s="442"/>
      <c r="C527" s="442"/>
      <c r="D527" s="442"/>
      <c r="E527" s="442"/>
      <c r="F527" s="442"/>
      <c r="G527" s="442"/>
      <c r="H527" s="442"/>
      <c r="I527" s="442"/>
      <c r="J527" s="442"/>
    </row>
    <row r="528" spans="1:10" ht="22.5" x14ac:dyDescent="0.25">
      <c r="A528" s="443" t="s">
        <v>107</v>
      </c>
      <c r="B528" s="443"/>
      <c r="C528" s="443"/>
      <c r="D528" s="443"/>
      <c r="E528" s="223" t="s">
        <v>108</v>
      </c>
      <c r="F528" s="230" t="s">
        <v>109</v>
      </c>
      <c r="G528" s="223" t="s">
        <v>110</v>
      </c>
      <c r="H528" s="223" t="s">
        <v>111</v>
      </c>
      <c r="I528" s="223" t="s">
        <v>92</v>
      </c>
      <c r="J528" s="213"/>
    </row>
    <row r="529" spans="1:13" x14ac:dyDescent="0.25">
      <c r="A529" s="447" t="s">
        <v>140</v>
      </c>
      <c r="B529" s="447"/>
      <c r="C529" s="447"/>
      <c r="D529" s="447"/>
      <c r="E529" s="216"/>
      <c r="F529" s="224">
        <f>1.75</f>
        <v>1.75</v>
      </c>
      <c r="G529" s="231">
        <v>1</v>
      </c>
      <c r="H529" s="216">
        <f>+IF(A529="","",VLOOKUP(A529,[46]MATERIALES!$B$7:$E$1222,3,FALSE))</f>
        <v>15000</v>
      </c>
      <c r="I529" s="249">
        <f>IFERROR(G529*H529*F529,"")</f>
        <v>26250</v>
      </c>
      <c r="J529" s="213"/>
    </row>
    <row r="530" spans="1:13" x14ac:dyDescent="0.25">
      <c r="A530" s="447"/>
      <c r="B530" s="447"/>
      <c r="C530" s="447"/>
      <c r="D530" s="447"/>
      <c r="E530" s="216" t="str">
        <f>+IF(A530="","",VLOOKUP(A530,[46]MATERIALES!$B$7:$E$1222,2,FALSE))</f>
        <v/>
      </c>
      <c r="F530" s="224"/>
      <c r="G530" s="231" t="str">
        <f>+IF(A530="","",VLOOKUP(A530,[46]MATERIALES!$B$7:$E$1222,4,FALSE))</f>
        <v/>
      </c>
      <c r="H530" s="216" t="str">
        <f>+IF(A530="","",VLOOKUP(A530,[46]MATERIALES!$B$7:$E$1222,3,FALSE))</f>
        <v/>
      </c>
      <c r="I530" s="247" t="str">
        <f>IFERROR(G530*H530*F530,"")</f>
        <v/>
      </c>
      <c r="J530" s="213"/>
    </row>
    <row r="531" spans="1:13" x14ac:dyDescent="0.25">
      <c r="A531" s="447"/>
      <c r="B531" s="447"/>
      <c r="C531" s="447"/>
      <c r="D531" s="447"/>
      <c r="E531" s="213"/>
      <c r="F531" s="214"/>
      <c r="G531" s="233"/>
      <c r="H531" s="216"/>
      <c r="I531" s="219"/>
      <c r="J531" s="213"/>
    </row>
    <row r="532" spans="1:13" x14ac:dyDescent="0.25">
      <c r="A532" s="447"/>
      <c r="B532" s="447"/>
      <c r="C532" s="447"/>
      <c r="D532" s="447"/>
      <c r="E532" s="213"/>
      <c r="F532" s="213"/>
      <c r="G532" s="213"/>
      <c r="H532" s="211"/>
      <c r="I532" s="213"/>
      <c r="J532" s="213"/>
    </row>
    <row r="533" spans="1:13" x14ac:dyDescent="0.25">
      <c r="A533" s="437" t="s">
        <v>100</v>
      </c>
      <c r="B533" s="438"/>
      <c r="C533" s="438"/>
      <c r="D533" s="438"/>
      <c r="E533" s="438"/>
      <c r="F533" s="438"/>
      <c r="G533" s="438"/>
      <c r="H533" s="438"/>
      <c r="I533" s="439"/>
      <c r="J533" s="247">
        <f>SUM(I529:I532)</f>
        <v>26250</v>
      </c>
    </row>
    <row r="534" spans="1:13" x14ac:dyDescent="0.25">
      <c r="A534" s="442" t="s">
        <v>112</v>
      </c>
      <c r="B534" s="442"/>
      <c r="C534" s="442"/>
      <c r="D534" s="442"/>
      <c r="E534" s="442"/>
      <c r="F534" s="442"/>
      <c r="G534" s="442"/>
      <c r="H534" s="442"/>
      <c r="I534" s="442"/>
      <c r="J534" s="442"/>
    </row>
    <row r="535" spans="1:13" x14ac:dyDescent="0.25">
      <c r="A535" s="443" t="s">
        <v>113</v>
      </c>
      <c r="B535" s="443"/>
      <c r="C535" s="443"/>
      <c r="D535" s="443"/>
      <c r="E535" s="223" t="s">
        <v>114</v>
      </c>
      <c r="F535" s="223" t="s">
        <v>115</v>
      </c>
      <c r="G535" s="234" t="s">
        <v>116</v>
      </c>
      <c r="H535" s="223" t="s">
        <v>91</v>
      </c>
      <c r="I535" s="223" t="s">
        <v>92</v>
      </c>
      <c r="J535" s="213"/>
    </row>
    <row r="536" spans="1:13" x14ac:dyDescent="0.25">
      <c r="A536" s="444" t="s">
        <v>99</v>
      </c>
      <c r="B536" s="445"/>
      <c r="C536" s="446"/>
      <c r="D536" s="211">
        <v>1</v>
      </c>
      <c r="E536" s="251">
        <f>+IF(D536="","",VLOOKUP(A536,$L$4:$O$10,3,FALSE))</f>
        <v>142350</v>
      </c>
      <c r="F536" s="252">
        <f>+IF(D536="","",(VLOOKUP(A536,$L$4:$O$10,4,FALSE))+1)</f>
        <v>1.5821008628015805</v>
      </c>
      <c r="G536" s="219">
        <f>+IFERROR(F536*E536*D536,"")</f>
        <v>225212.05781980499</v>
      </c>
      <c r="H536" s="216">
        <v>1</v>
      </c>
      <c r="I536" s="249">
        <f>IFERROR(G536/H536,"")</f>
        <v>225212.05781980499</v>
      </c>
      <c r="J536" s="213"/>
    </row>
    <row r="537" spans="1:13" ht="13.35" customHeight="1" x14ac:dyDescent="0.25">
      <c r="A537" s="444" t="s">
        <v>93</v>
      </c>
      <c r="B537" s="445"/>
      <c r="C537" s="446"/>
      <c r="D537" s="211">
        <v>2</v>
      </c>
      <c r="E537" s="251">
        <f>+IF(D537="","",VLOOKUP(A537,$L$4:$O$10,3,FALSE))</f>
        <v>77842</v>
      </c>
      <c r="F537" s="252">
        <f>+IF(D537="","",(VLOOKUP(A537,$L$4:$O$10,4,FALSE))+1)</f>
        <v>1.6752877632282406</v>
      </c>
      <c r="G537" s="219">
        <f>+IFERROR(F537*E537*D537,"")</f>
        <v>260815.50013042541</v>
      </c>
      <c r="H537" s="216">
        <f>+H536</f>
        <v>1</v>
      </c>
      <c r="I537" s="249">
        <f t="shared" ref="I537:I538" si="61">IFERROR(G537/H537,"")</f>
        <v>260815.50013042541</v>
      </c>
      <c r="J537" s="213"/>
    </row>
    <row r="538" spans="1:13" ht="13.35" customHeight="1" x14ac:dyDescent="0.25">
      <c r="A538" s="444" t="s">
        <v>86</v>
      </c>
      <c r="B538" s="445"/>
      <c r="C538" s="446"/>
      <c r="D538" s="211">
        <v>2</v>
      </c>
      <c r="E538" s="251">
        <f>+IF(D538="","",VLOOKUP(A538,$L$4:$O$10,3,FALSE))</f>
        <v>54117</v>
      </c>
      <c r="F538" s="252">
        <f>+IF(D538="","",(VLOOKUP(A538,$L$4:$O$10,4,FALSE))+1)</f>
        <v>1.7246636834087141</v>
      </c>
      <c r="G538" s="219">
        <f>+IFERROR(F538*E538*D538,"")</f>
        <v>186667.24911005876</v>
      </c>
      <c r="H538" s="216">
        <f>+H537</f>
        <v>1</v>
      </c>
      <c r="I538" s="249">
        <f t="shared" si="61"/>
        <v>186667.24911005876</v>
      </c>
      <c r="J538" s="213"/>
    </row>
    <row r="539" spans="1:13" x14ac:dyDescent="0.25">
      <c r="A539" s="444"/>
      <c r="B539" s="445"/>
      <c r="C539" s="446"/>
      <c r="D539" s="213"/>
      <c r="E539" s="213"/>
      <c r="F539" s="213"/>
      <c r="G539" s="213"/>
      <c r="H539" s="211"/>
      <c r="I539" s="247"/>
      <c r="J539" s="213"/>
    </row>
    <row r="540" spans="1:13" ht="14.45" customHeight="1" x14ac:dyDescent="0.25">
      <c r="A540" s="437" t="s">
        <v>100</v>
      </c>
      <c r="B540" s="438"/>
      <c r="C540" s="438"/>
      <c r="D540" s="438"/>
      <c r="E540" s="438"/>
      <c r="F540" s="438"/>
      <c r="G540" s="438"/>
      <c r="H540" s="438"/>
      <c r="I540" s="439"/>
      <c r="J540" s="247">
        <f>SUM(I536:I539)</f>
        <v>672694.8070602892</v>
      </c>
    </row>
    <row r="541" spans="1:13" ht="13.35" customHeight="1" x14ac:dyDescent="0.25">
      <c r="A541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541" s="462"/>
      <c r="C541" s="462"/>
      <c r="D541" s="462"/>
      <c r="E541" s="462"/>
      <c r="F541" s="462"/>
      <c r="G541" s="462"/>
      <c r="H541" s="462"/>
      <c r="I541" s="462"/>
      <c r="J541" s="462"/>
    </row>
    <row r="542" spans="1:13" ht="36" customHeight="1" x14ac:dyDescent="0.25">
      <c r="A542" s="463"/>
      <c r="B542" s="463"/>
      <c r="C542" s="463"/>
      <c r="D542" s="463"/>
      <c r="E542" s="462"/>
      <c r="F542" s="462"/>
      <c r="G542" s="462"/>
      <c r="H542" s="462"/>
      <c r="I542" s="462"/>
      <c r="J542" s="462"/>
    </row>
    <row r="543" spans="1:13" ht="19.7" customHeight="1" x14ac:dyDescent="0.25">
      <c r="A543" s="242" t="s">
        <v>78</v>
      </c>
      <c r="B543" s="468" t="s">
        <v>79</v>
      </c>
      <c r="C543" s="468"/>
      <c r="D543" s="468"/>
      <c r="E543" s="468"/>
      <c r="F543" s="468"/>
      <c r="G543" s="468"/>
      <c r="H543" s="468"/>
      <c r="I543" s="243" t="s">
        <v>80</v>
      </c>
      <c r="J543" s="244" t="s">
        <v>81</v>
      </c>
    </row>
    <row r="544" spans="1:13" ht="33.4" customHeight="1" x14ac:dyDescent="0.25">
      <c r="A544" s="203">
        <v>5.08</v>
      </c>
      <c r="B544" s="469" t="str">
        <f>+VLOOKUP(A544,[46]PTO!$B$4:$D$28,2,FALSE)</f>
        <v xml:space="preserve">Construccion de tanque de recoleccion y almacenamiento de lixiviados de 2.0x3.0x3.0 m, en concreto de 21 Mpa,  Incluye excavacion, formaleta, acero, suministro, transporte e instalación del concreto, mano de obra, vibrado, curado y protección.  </v>
      </c>
      <c r="C544" s="470"/>
      <c r="D544" s="470"/>
      <c r="E544" s="470"/>
      <c r="F544" s="470"/>
      <c r="G544" s="470"/>
      <c r="H544" s="471"/>
      <c r="I544" s="204" t="str">
        <f>+VLOOKUP(A544,[46]PTO!$B$4:$D$28,3,FALSE)</f>
        <v>UN</v>
      </c>
      <c r="J544" s="245">
        <f>+ROUND(SUM(J550:J579),0)</f>
        <v>9662076</v>
      </c>
      <c r="L544" s="246" t="e">
        <f>+VLOOKUP(A544,[46]PTO!$B$5:$E$385,5,FALSE)</f>
        <v>#REF!</v>
      </c>
      <c r="M544" s="192">
        <v>14829472</v>
      </c>
    </row>
    <row r="545" spans="1:13" x14ac:dyDescent="0.25">
      <c r="A545" s="459" t="s">
        <v>87</v>
      </c>
      <c r="B545" s="459"/>
      <c r="C545" s="459"/>
      <c r="D545" s="459"/>
      <c r="E545" s="459"/>
      <c r="F545" s="459"/>
      <c r="G545" s="459"/>
      <c r="H545" s="459"/>
      <c r="I545" s="442"/>
      <c r="J545" s="442"/>
    </row>
    <row r="546" spans="1:13" x14ac:dyDescent="0.25">
      <c r="A546" s="460" t="s">
        <v>2</v>
      </c>
      <c r="B546" s="460"/>
      <c r="C546" s="460"/>
      <c r="D546" s="460"/>
      <c r="E546" s="460"/>
      <c r="F546" s="223" t="s">
        <v>89</v>
      </c>
      <c r="G546" s="234" t="s">
        <v>90</v>
      </c>
      <c r="H546" s="223" t="s">
        <v>91</v>
      </c>
      <c r="I546" s="223" t="s">
        <v>92</v>
      </c>
      <c r="J546" s="213"/>
    </row>
    <row r="547" spans="1:13" x14ac:dyDescent="0.25">
      <c r="A547" s="451" t="s">
        <v>95</v>
      </c>
      <c r="B547" s="451"/>
      <c r="C547" s="451"/>
      <c r="D547" s="451"/>
      <c r="E547" s="451"/>
      <c r="F547" s="214"/>
      <c r="G547" s="215">
        <v>0.05</v>
      </c>
      <c r="H547" s="216"/>
      <c r="I547" s="247">
        <f>+J579*G547</f>
        <v>33634.740353014458</v>
      </c>
      <c r="J547" s="213"/>
    </row>
    <row r="548" spans="1:13" x14ac:dyDescent="0.25">
      <c r="A548" s="451"/>
      <c r="B548" s="451"/>
      <c r="C548" s="451"/>
      <c r="D548" s="451"/>
      <c r="E548" s="451"/>
      <c r="F548" s="214"/>
      <c r="G548" s="218"/>
      <c r="H548" s="238" t="str">
        <f>IF(A548="","",IFERROR(1/H575,""))</f>
        <v/>
      </c>
      <c r="I548" s="247"/>
      <c r="J548" s="213"/>
    </row>
    <row r="549" spans="1:13" x14ac:dyDescent="0.25">
      <c r="A549" s="451"/>
      <c r="B549" s="451"/>
      <c r="C549" s="451"/>
      <c r="D549" s="451"/>
      <c r="E549" s="451"/>
      <c r="F549" s="214"/>
      <c r="G549" s="218"/>
      <c r="H549" s="216"/>
      <c r="I549" s="247"/>
      <c r="J549" s="219"/>
    </row>
    <row r="550" spans="1:13" x14ac:dyDescent="0.25">
      <c r="A550" s="437" t="s">
        <v>100</v>
      </c>
      <c r="B550" s="438"/>
      <c r="C550" s="438"/>
      <c r="D550" s="438"/>
      <c r="E550" s="438"/>
      <c r="F550" s="438"/>
      <c r="G550" s="438"/>
      <c r="H550" s="438"/>
      <c r="I550" s="439"/>
      <c r="J550" s="247">
        <f>+SUM(I547:I549)</f>
        <v>33634.740353014458</v>
      </c>
    </row>
    <row r="551" spans="1:13" x14ac:dyDescent="0.25">
      <c r="A551" s="442" t="s">
        <v>101</v>
      </c>
      <c r="B551" s="442"/>
      <c r="C551" s="442"/>
      <c r="D551" s="442"/>
      <c r="E551" s="442"/>
      <c r="F551" s="442"/>
      <c r="G551" s="442"/>
      <c r="H551" s="442"/>
      <c r="I551" s="442"/>
      <c r="J551" s="442"/>
    </row>
    <row r="552" spans="1:13" x14ac:dyDescent="0.25">
      <c r="A552" s="452" t="s">
        <v>2</v>
      </c>
      <c r="B552" s="453"/>
      <c r="C552" s="453"/>
      <c r="D552" s="454"/>
      <c r="E552" s="223" t="s">
        <v>3</v>
      </c>
      <c r="F552" s="223" t="s">
        <v>102</v>
      </c>
      <c r="G552" s="223" t="s">
        <v>4</v>
      </c>
      <c r="H552" s="223" t="s">
        <v>103</v>
      </c>
      <c r="I552" s="223" t="s">
        <v>92</v>
      </c>
      <c r="J552" s="213"/>
    </row>
    <row r="553" spans="1:13" x14ac:dyDescent="0.25">
      <c r="A553" s="448" t="s">
        <v>138</v>
      </c>
      <c r="B553" s="449"/>
      <c r="C553" s="449"/>
      <c r="D553" s="449"/>
      <c r="E553" s="224" t="str">
        <f>+IF(A553="","",VLOOKUP(A553,[46]MATERIALES!$B$7:$D$225,2,FALSE))</f>
        <v>m3</v>
      </c>
      <c r="F553" s="225">
        <f>+IF(A553="","",VLOOKUP(A553,[46]MATERIALES!$B$7:$E$225,3,FALSE))</f>
        <v>840990</v>
      </c>
      <c r="G553" s="211">
        <f>2*4*0.1*2+4*2*0.1*2+2*2*0.1*2</f>
        <v>4</v>
      </c>
      <c r="H553" s="248"/>
      <c r="I553" s="247">
        <f t="shared" ref="I553:I559" si="62">IFERROR(F553*G553*(1+H553),"")</f>
        <v>3363960</v>
      </c>
      <c r="J553" s="213"/>
    </row>
    <row r="554" spans="1:13" x14ac:dyDescent="0.25">
      <c r="A554" s="448" t="s">
        <v>144</v>
      </c>
      <c r="B554" s="449"/>
      <c r="C554" s="449"/>
      <c r="D554" s="449"/>
      <c r="E554" s="224" t="str">
        <f>+IF(A554="","",VLOOKUP(A554,[46]MATERIALES!$B$7:$D$225,2,FALSE))</f>
        <v>UN</v>
      </c>
      <c r="F554" s="225">
        <f>+IF(A554="","",VLOOKUP(A554,[46]MATERIALES!$B$7:$E$225,3,FALSE))</f>
        <v>30000</v>
      </c>
      <c r="G554" s="253">
        <f>+(10*14*2+20*9)/6</f>
        <v>76.666666666666671</v>
      </c>
      <c r="H554" s="248"/>
      <c r="I554" s="247">
        <f t="shared" si="62"/>
        <v>2300000</v>
      </c>
      <c r="J554" s="213"/>
    </row>
    <row r="555" spans="1:13" x14ac:dyDescent="0.25">
      <c r="A555" s="448" t="s">
        <v>145</v>
      </c>
      <c r="B555" s="449"/>
      <c r="C555" s="449"/>
      <c r="D555" s="449"/>
      <c r="E555" s="224" t="str">
        <f>+IF(A555="","",VLOOKUP(A555,[46]MATERIALES!$B$7:$D$225,2,FALSE))</f>
        <v>M3</v>
      </c>
      <c r="F555" s="225">
        <f>+IF(A555="","",VLOOKUP(A555,[46]MATERIALES!$B$7:$E$225,3,FALSE))</f>
        <v>62600</v>
      </c>
      <c r="G555" s="254">
        <f>2*2*3.6</f>
        <v>14.4</v>
      </c>
      <c r="H555" s="248"/>
      <c r="I555" s="247">
        <f t="shared" si="62"/>
        <v>901440</v>
      </c>
      <c r="J555" s="213"/>
    </row>
    <row r="556" spans="1:13" x14ac:dyDescent="0.25">
      <c r="A556" s="448" t="s">
        <v>146</v>
      </c>
      <c r="B556" s="449"/>
      <c r="C556" s="449"/>
      <c r="D556" s="449"/>
      <c r="E556" s="224" t="str">
        <f>+IF(A556="","",VLOOKUP(A556,[46]MATERIALES!$B$7:$D$225,2,FALSE))</f>
        <v>m2</v>
      </c>
      <c r="F556" s="225">
        <f>+IF(A556="","",VLOOKUP(A556,[46]MATERIALES!$B$7:$E$225,3,FALSE))</f>
        <v>73878</v>
      </c>
      <c r="G556" s="254">
        <f>2*4*4</f>
        <v>32</v>
      </c>
      <c r="H556" s="248"/>
      <c r="I556" s="247">
        <f t="shared" si="62"/>
        <v>2364096</v>
      </c>
      <c r="J556" s="213"/>
      <c r="M556" s="192">
        <f>3360000/140</f>
        <v>24000</v>
      </c>
    </row>
    <row r="557" spans="1:13" x14ac:dyDescent="0.25">
      <c r="A557" s="448"/>
      <c r="B557" s="449"/>
      <c r="C557" s="449"/>
      <c r="D557" s="449"/>
      <c r="E557" s="224" t="str">
        <f>+IF(A557="","",VLOOKUP(A557,[46]MATERIALES!$B$7:$D$225,2,FALSE))</f>
        <v/>
      </c>
      <c r="F557" s="225" t="str">
        <f>+IF(A557="","",VLOOKUP(A557,[46]MATERIALES!$B$7:$E$225,3,FALSE))</f>
        <v/>
      </c>
      <c r="G557" s="226"/>
      <c r="H557" s="248"/>
      <c r="I557" s="247" t="str">
        <f t="shared" si="62"/>
        <v/>
      </c>
      <c r="J557" s="213"/>
    </row>
    <row r="558" spans="1:13" x14ac:dyDescent="0.25">
      <c r="A558" s="448"/>
      <c r="B558" s="449"/>
      <c r="C558" s="449"/>
      <c r="D558" s="449"/>
      <c r="E558" s="224" t="str">
        <f>+IF(A558="","",VLOOKUP(A558,[46]MATERIALES!$B$7:$D$225,2,FALSE))</f>
        <v/>
      </c>
      <c r="F558" s="225" t="str">
        <f>+IF(A558="","",VLOOKUP(A558,[46]MATERIALES!$B$7:$E$225,3,FALSE))</f>
        <v/>
      </c>
      <c r="G558" s="226"/>
      <c r="H558" s="248"/>
      <c r="I558" s="247" t="str">
        <f t="shared" si="62"/>
        <v/>
      </c>
      <c r="J558" s="213"/>
    </row>
    <row r="559" spans="1:13" x14ac:dyDescent="0.25">
      <c r="A559" s="448"/>
      <c r="B559" s="449"/>
      <c r="C559" s="449"/>
      <c r="D559" s="449"/>
      <c r="E559" s="224" t="str">
        <f>+IF(A559="","",VLOOKUP(A559,[46]MATERIALES!$B$7:$D$225,2,FALSE))</f>
        <v/>
      </c>
      <c r="F559" s="225" t="str">
        <f>+IF(A559="","",VLOOKUP(A559,[46]MATERIALES!$B$7:$E$225,3,FALSE))</f>
        <v/>
      </c>
      <c r="G559" s="226"/>
      <c r="H559" s="248"/>
      <c r="I559" s="247" t="str">
        <f t="shared" si="62"/>
        <v/>
      </c>
      <c r="J559" s="213"/>
    </row>
    <row r="560" spans="1:13" x14ac:dyDescent="0.25">
      <c r="A560" s="444"/>
      <c r="B560" s="445"/>
      <c r="C560" s="445"/>
      <c r="D560" s="445"/>
      <c r="E560" s="224"/>
      <c r="F560" s="225"/>
      <c r="G560" s="226"/>
      <c r="H560" s="248"/>
      <c r="I560" s="249">
        <f t="shared" ref="I560:I562" si="63">IFERROR((ROUND((F560*G560*(1+H560)),0)),"")</f>
        <v>0</v>
      </c>
      <c r="J560" s="213"/>
    </row>
    <row r="561" spans="1:10" x14ac:dyDescent="0.25">
      <c r="A561" s="444"/>
      <c r="B561" s="445"/>
      <c r="C561" s="445"/>
      <c r="D561" s="445"/>
      <c r="E561" s="224" t="str">
        <f>+IF(A561="","",VLOOKUP(A561,[46]MATERIALES!$B$7:$D$225,2,FALSE))</f>
        <v/>
      </c>
      <c r="F561" s="225" t="str">
        <f>+IF(A561="","",VLOOKUP(A561,[46]MATERIALES!$B$7:$E$225,3,FALSE))</f>
        <v/>
      </c>
      <c r="G561" s="238"/>
      <c r="H561" s="248"/>
      <c r="I561" s="249" t="str">
        <f t="shared" si="63"/>
        <v/>
      </c>
      <c r="J561" s="213"/>
    </row>
    <row r="562" spans="1:10" x14ac:dyDescent="0.25">
      <c r="A562" s="444"/>
      <c r="B562" s="445"/>
      <c r="C562" s="445"/>
      <c r="D562" s="445"/>
      <c r="E562" s="224" t="str">
        <f>+IF(A562="","",VLOOKUP(A562,[46]MATERIALES!$B$7:$D$225,2,FALSE))</f>
        <v/>
      </c>
      <c r="F562" s="225" t="str">
        <f>+IF(A562="","",VLOOKUP(A562,[46]MATERIALES!$B$7:$E$225,3,FALSE))</f>
        <v/>
      </c>
      <c r="G562" s="226"/>
      <c r="H562" s="248"/>
      <c r="I562" s="249" t="str">
        <f t="shared" si="63"/>
        <v/>
      </c>
      <c r="J562" s="213"/>
    </row>
    <row r="563" spans="1:10" x14ac:dyDescent="0.25">
      <c r="A563" s="444"/>
      <c r="B563" s="445"/>
      <c r="C563" s="445"/>
      <c r="D563" s="445"/>
      <c r="E563" s="224" t="str">
        <f>+IF(A563="","",VLOOKUP(A563,[46]MATERIALES!$B$7:$D$225,2,FALSE))</f>
        <v/>
      </c>
      <c r="F563" s="225" t="str">
        <f>+IF(A563="","",VLOOKUP(A563,[46]MATERIALES!$B$7:$E$225,3,FALSE))</f>
        <v/>
      </c>
      <c r="G563" s="226"/>
      <c r="H563" s="248"/>
      <c r="I563" s="247" t="str">
        <f t="shared" ref="I563" si="64">IFERROR(F563*G563*(1+H563),"")</f>
        <v/>
      </c>
      <c r="J563" s="213"/>
    </row>
    <row r="564" spans="1:10" x14ac:dyDescent="0.25">
      <c r="A564" s="444"/>
      <c r="B564" s="445"/>
      <c r="C564" s="445"/>
      <c r="D564" s="445"/>
      <c r="E564" s="224" t="str">
        <f>+IF(A564="","",VLOOKUP(A564,[46]MATERIALES!$B$7:$D$225,2,FALSE))</f>
        <v/>
      </c>
      <c r="F564" s="225" t="str">
        <f>+IF(A564="","",VLOOKUP(A564,[46]MATERIALES!$B$7:$E$225,3,FALSE))</f>
        <v/>
      </c>
      <c r="G564" s="226"/>
      <c r="H564" s="248"/>
      <c r="I564" s="247" t="str">
        <f>IFERROR(F564*G564*(1+H564),"")</f>
        <v/>
      </c>
      <c r="J564" s="213"/>
    </row>
    <row r="565" spans="1:10" x14ac:dyDescent="0.25">
      <c r="A565" s="437" t="s">
        <v>100</v>
      </c>
      <c r="B565" s="438"/>
      <c r="C565" s="438"/>
      <c r="D565" s="438"/>
      <c r="E565" s="438"/>
      <c r="F565" s="438"/>
      <c r="G565" s="438"/>
      <c r="H565" s="438"/>
      <c r="I565" s="439"/>
      <c r="J565" s="250">
        <f>SUM(I553:I564)</f>
        <v>8929496</v>
      </c>
    </row>
    <row r="566" spans="1:10" x14ac:dyDescent="0.25">
      <c r="A566" s="442" t="s">
        <v>106</v>
      </c>
      <c r="B566" s="442"/>
      <c r="C566" s="442"/>
      <c r="D566" s="442"/>
      <c r="E566" s="442"/>
      <c r="F566" s="442"/>
      <c r="G566" s="442"/>
      <c r="H566" s="442"/>
      <c r="I566" s="442"/>
      <c r="J566" s="442"/>
    </row>
    <row r="567" spans="1:10" ht="22.5" x14ac:dyDescent="0.25">
      <c r="A567" s="443" t="s">
        <v>107</v>
      </c>
      <c r="B567" s="443"/>
      <c r="C567" s="443"/>
      <c r="D567" s="443"/>
      <c r="E567" s="223" t="s">
        <v>108</v>
      </c>
      <c r="F567" s="230" t="s">
        <v>109</v>
      </c>
      <c r="G567" s="223" t="s">
        <v>110</v>
      </c>
      <c r="H567" s="223" t="s">
        <v>111</v>
      </c>
      <c r="I567" s="223" t="s">
        <v>92</v>
      </c>
      <c r="J567" s="213"/>
    </row>
    <row r="568" spans="1:10" x14ac:dyDescent="0.25">
      <c r="A568" s="447" t="s">
        <v>140</v>
      </c>
      <c r="B568" s="447"/>
      <c r="C568" s="447"/>
      <c r="D568" s="447"/>
      <c r="E568" s="216"/>
      <c r="F568" s="224">
        <v>1.75</v>
      </c>
      <c r="G568" s="231">
        <v>1</v>
      </c>
      <c r="H568" s="216">
        <f>+IF(A568="","",VLOOKUP(A568,[46]MATERIALES!$B$7:$E$1222,3,FALSE))</f>
        <v>15000</v>
      </c>
      <c r="I568" s="249">
        <f>IFERROR(G568*H568*F568,"")</f>
        <v>26250</v>
      </c>
      <c r="J568" s="213"/>
    </row>
    <row r="569" spans="1:10" x14ac:dyDescent="0.25">
      <c r="A569" s="447"/>
      <c r="B569" s="447"/>
      <c r="C569" s="447"/>
      <c r="D569" s="447"/>
      <c r="E569" s="216" t="str">
        <f>+IF(A569="","",VLOOKUP(A569,[46]MATERIALES!$B$7:$E$1222,2,FALSE))</f>
        <v/>
      </c>
      <c r="F569" s="224"/>
      <c r="G569" s="231" t="str">
        <f>+IF(A569="","",VLOOKUP(A569,[46]MATERIALES!$B$7:$E$1222,4,FALSE))</f>
        <v/>
      </c>
      <c r="H569" s="216" t="str">
        <f>+IF(A569="","",VLOOKUP(A569,[46]MATERIALES!$B$7:$E$1222,3,FALSE))</f>
        <v/>
      </c>
      <c r="I569" s="247" t="str">
        <f>IFERROR(G569*H569*F569,"")</f>
        <v/>
      </c>
      <c r="J569" s="213"/>
    </row>
    <row r="570" spans="1:10" x14ac:dyDescent="0.25">
      <c r="A570" s="447"/>
      <c r="B570" s="447"/>
      <c r="C570" s="447"/>
      <c r="D570" s="447"/>
      <c r="E570" s="213"/>
      <c r="F570" s="214"/>
      <c r="G570" s="233"/>
      <c r="H570" s="216"/>
      <c r="I570" s="219"/>
      <c r="J570" s="213"/>
    </row>
    <row r="571" spans="1:10" x14ac:dyDescent="0.25">
      <c r="A571" s="447"/>
      <c r="B571" s="447"/>
      <c r="C571" s="447"/>
      <c r="D571" s="447"/>
      <c r="E571" s="213"/>
      <c r="F571" s="213"/>
      <c r="G571" s="213"/>
      <c r="H571" s="211"/>
      <c r="I571" s="213"/>
      <c r="J571" s="213"/>
    </row>
    <row r="572" spans="1:10" x14ac:dyDescent="0.25">
      <c r="A572" s="437" t="s">
        <v>100</v>
      </c>
      <c r="B572" s="438"/>
      <c r="C572" s="438"/>
      <c r="D572" s="438"/>
      <c r="E572" s="438"/>
      <c r="F572" s="438"/>
      <c r="G572" s="438"/>
      <c r="H572" s="438"/>
      <c r="I572" s="439"/>
      <c r="J572" s="247">
        <f>SUM(I568:I571)</f>
        <v>26250</v>
      </c>
    </row>
    <row r="573" spans="1:10" x14ac:dyDescent="0.25">
      <c r="A573" s="442" t="s">
        <v>112</v>
      </c>
      <c r="B573" s="442"/>
      <c r="C573" s="442"/>
      <c r="D573" s="442"/>
      <c r="E573" s="442"/>
      <c r="F573" s="442"/>
      <c r="G573" s="442"/>
      <c r="H573" s="442"/>
      <c r="I573" s="442"/>
      <c r="J573" s="442"/>
    </row>
    <row r="574" spans="1:10" x14ac:dyDescent="0.25">
      <c r="A574" s="443" t="s">
        <v>113</v>
      </c>
      <c r="B574" s="443"/>
      <c r="C574" s="443"/>
      <c r="D574" s="443"/>
      <c r="E574" s="223" t="s">
        <v>114</v>
      </c>
      <c r="F574" s="223" t="s">
        <v>115</v>
      </c>
      <c r="G574" s="234" t="s">
        <v>116</v>
      </c>
      <c r="H574" s="223" t="s">
        <v>91</v>
      </c>
      <c r="I574" s="223" t="s">
        <v>92</v>
      </c>
      <c r="J574" s="213"/>
    </row>
    <row r="575" spans="1:10" x14ac:dyDescent="0.25">
      <c r="A575" s="444" t="s">
        <v>99</v>
      </c>
      <c r="B575" s="445"/>
      <c r="C575" s="446"/>
      <c r="D575" s="211">
        <v>1</v>
      </c>
      <c r="E575" s="251">
        <f>+IF(D575="","",VLOOKUP(A575,$L$4:$O$10,3,FALSE))</f>
        <v>142350</v>
      </c>
      <c r="F575" s="252">
        <f>+IF(D575="","",(VLOOKUP(A575,$L$4:$O$10,4,FALSE))+1)</f>
        <v>1.5821008628015805</v>
      </c>
      <c r="G575" s="219">
        <f>+IFERROR(F575*E575*D575,"")</f>
        <v>225212.05781980499</v>
      </c>
      <c r="H575" s="216">
        <v>1</v>
      </c>
      <c r="I575" s="249">
        <f>IFERROR(G575/H575,"")</f>
        <v>225212.05781980499</v>
      </c>
      <c r="J575" s="213"/>
    </row>
    <row r="576" spans="1:10" ht="13.35" customHeight="1" x14ac:dyDescent="0.25">
      <c r="A576" s="444" t="s">
        <v>93</v>
      </c>
      <c r="B576" s="445"/>
      <c r="C576" s="446"/>
      <c r="D576" s="211">
        <v>2</v>
      </c>
      <c r="E576" s="251">
        <f>+IF(D576="","",VLOOKUP(A576,$L$4:$O$10,3,FALSE))</f>
        <v>77842</v>
      </c>
      <c r="F576" s="252">
        <f>+IF(D576="","",(VLOOKUP(A576,$L$4:$O$10,4,FALSE))+1)</f>
        <v>1.6752877632282406</v>
      </c>
      <c r="G576" s="219">
        <f>+IFERROR(F576*E576*D576,"")</f>
        <v>260815.50013042541</v>
      </c>
      <c r="H576" s="216">
        <f>+H575</f>
        <v>1</v>
      </c>
      <c r="I576" s="249">
        <f t="shared" ref="I576:I577" si="65">IFERROR(G576/H576,"")</f>
        <v>260815.50013042541</v>
      </c>
      <c r="J576" s="213"/>
    </row>
    <row r="577" spans="1:12" ht="13.35" customHeight="1" x14ac:dyDescent="0.25">
      <c r="A577" s="444" t="s">
        <v>86</v>
      </c>
      <c r="B577" s="445"/>
      <c r="C577" s="446"/>
      <c r="D577" s="211">
        <v>2</v>
      </c>
      <c r="E577" s="251">
        <f>+IF(D577="","",VLOOKUP(A577,$L$4:$O$10,3,FALSE))</f>
        <v>54117</v>
      </c>
      <c r="F577" s="252">
        <f>+IF(D577="","",(VLOOKUP(A577,$L$4:$O$10,4,FALSE))+1)</f>
        <v>1.7246636834087141</v>
      </c>
      <c r="G577" s="219">
        <f>+IFERROR(F577*E577*D577,"")</f>
        <v>186667.24911005876</v>
      </c>
      <c r="H577" s="216">
        <f>+H576</f>
        <v>1</v>
      </c>
      <c r="I577" s="249">
        <f t="shared" si="65"/>
        <v>186667.24911005876</v>
      </c>
      <c r="J577" s="213"/>
    </row>
    <row r="578" spans="1:12" x14ac:dyDescent="0.25">
      <c r="A578" s="444"/>
      <c r="B578" s="445"/>
      <c r="C578" s="446"/>
      <c r="D578" s="213"/>
      <c r="E578" s="213"/>
      <c r="F578" s="213"/>
      <c r="G578" s="213"/>
      <c r="H578" s="211"/>
      <c r="I578" s="247"/>
      <c r="J578" s="213"/>
    </row>
    <row r="579" spans="1:12" ht="14.45" customHeight="1" x14ac:dyDescent="0.25">
      <c r="A579" s="437" t="s">
        <v>100</v>
      </c>
      <c r="B579" s="438"/>
      <c r="C579" s="438"/>
      <c r="D579" s="438"/>
      <c r="E579" s="438"/>
      <c r="F579" s="438"/>
      <c r="G579" s="438"/>
      <c r="H579" s="438"/>
      <c r="I579" s="439"/>
      <c r="J579" s="247">
        <f>SUM(I575:I578)</f>
        <v>672694.8070602892</v>
      </c>
    </row>
    <row r="580" spans="1:12" ht="13.35" customHeight="1" x14ac:dyDescent="0.25">
      <c r="A580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580" s="462"/>
      <c r="C580" s="462"/>
      <c r="D580" s="462"/>
      <c r="E580" s="462"/>
      <c r="F580" s="462"/>
      <c r="G580" s="462"/>
      <c r="H580" s="462"/>
      <c r="I580" s="462"/>
      <c r="J580" s="462"/>
    </row>
    <row r="581" spans="1:12" ht="36" customHeight="1" x14ac:dyDescent="0.25">
      <c r="A581" s="463"/>
      <c r="B581" s="463"/>
      <c r="C581" s="463"/>
      <c r="D581" s="463"/>
      <c r="E581" s="462"/>
      <c r="F581" s="462"/>
      <c r="G581" s="462"/>
      <c r="H581" s="462"/>
      <c r="I581" s="462"/>
      <c r="J581" s="462"/>
    </row>
    <row r="582" spans="1:12" ht="19.7" customHeight="1" x14ac:dyDescent="0.25">
      <c r="A582" s="242" t="s">
        <v>78</v>
      </c>
      <c r="B582" s="468" t="s">
        <v>79</v>
      </c>
      <c r="C582" s="468"/>
      <c r="D582" s="468"/>
      <c r="E582" s="468"/>
      <c r="F582" s="468"/>
      <c r="G582" s="468"/>
      <c r="H582" s="468"/>
      <c r="I582" s="243" t="s">
        <v>80</v>
      </c>
      <c r="J582" s="244" t="s">
        <v>81</v>
      </c>
    </row>
    <row r="583" spans="1:12" ht="19.149999999999999" customHeight="1" x14ac:dyDescent="0.25">
      <c r="A583" s="203">
        <v>5.09</v>
      </c>
      <c r="B583" s="469" t="str">
        <f>+VLOOKUP(A583,[46]PTO!$B$4:$D$28,2,FALSE)</f>
        <v xml:space="preserve">Suministro e instalacion de valla informativa </v>
      </c>
      <c r="C583" s="470"/>
      <c r="D583" s="470"/>
      <c r="E583" s="470"/>
      <c r="F583" s="470"/>
      <c r="G583" s="470"/>
      <c r="H583" s="471"/>
      <c r="I583" s="204" t="str">
        <f>+VLOOKUP(A583,[46]PTO!$B$4:$D$28,3,FALSE)</f>
        <v>UN</v>
      </c>
      <c r="J583" s="245">
        <f>+ROUND(SUM(J589:J618),0)</f>
        <v>1327001</v>
      </c>
      <c r="L583" s="246" t="e">
        <f>+VLOOKUP(A583,[46]PTO!$B$5:$E$385,5,FALSE)</f>
        <v>#REF!</v>
      </c>
    </row>
    <row r="584" spans="1:12" x14ac:dyDescent="0.25">
      <c r="A584" s="459" t="s">
        <v>87</v>
      </c>
      <c r="B584" s="459"/>
      <c r="C584" s="459"/>
      <c r="D584" s="459"/>
      <c r="E584" s="459"/>
      <c r="F584" s="459"/>
      <c r="G584" s="459"/>
      <c r="H584" s="459"/>
      <c r="I584" s="442"/>
      <c r="J584" s="442"/>
    </row>
    <row r="585" spans="1:12" x14ac:dyDescent="0.25">
      <c r="A585" s="460" t="s">
        <v>2</v>
      </c>
      <c r="B585" s="460"/>
      <c r="C585" s="460"/>
      <c r="D585" s="460"/>
      <c r="E585" s="460"/>
      <c r="F585" s="223" t="s">
        <v>89</v>
      </c>
      <c r="G585" s="234" t="s">
        <v>90</v>
      </c>
      <c r="H585" s="223" t="s">
        <v>91</v>
      </c>
      <c r="I585" s="223" t="s">
        <v>92</v>
      </c>
      <c r="J585" s="213"/>
    </row>
    <row r="586" spans="1:12" x14ac:dyDescent="0.25">
      <c r="A586" s="451" t="s">
        <v>95</v>
      </c>
      <c r="B586" s="451"/>
      <c r="C586" s="451"/>
      <c r="D586" s="451"/>
      <c r="E586" s="451"/>
      <c r="F586" s="214"/>
      <c r="G586" s="215">
        <v>0.05</v>
      </c>
      <c r="H586" s="216"/>
      <c r="I586" s="247">
        <f>+J618*G586</f>
        <v>22447.671622002355</v>
      </c>
      <c r="J586" s="213"/>
    </row>
    <row r="587" spans="1:12" x14ac:dyDescent="0.25">
      <c r="A587" s="451"/>
      <c r="B587" s="451"/>
      <c r="C587" s="451"/>
      <c r="D587" s="451"/>
      <c r="E587" s="451"/>
      <c r="F587" s="214"/>
      <c r="G587" s="218"/>
      <c r="H587" s="238" t="str">
        <f>IF(A587="","",IFERROR(1/H614,""))</f>
        <v/>
      </c>
      <c r="I587" s="247"/>
      <c r="J587" s="213"/>
    </row>
    <row r="588" spans="1:12" x14ac:dyDescent="0.25">
      <c r="A588" s="451"/>
      <c r="B588" s="451"/>
      <c r="C588" s="451"/>
      <c r="D588" s="451"/>
      <c r="E588" s="451"/>
      <c r="F588" s="214"/>
      <c r="G588" s="218"/>
      <c r="H588" s="216"/>
      <c r="I588" s="247"/>
      <c r="J588" s="219"/>
    </row>
    <row r="589" spans="1:12" x14ac:dyDescent="0.25">
      <c r="A589" s="437" t="s">
        <v>100</v>
      </c>
      <c r="B589" s="438"/>
      <c r="C589" s="438"/>
      <c r="D589" s="438"/>
      <c r="E589" s="438"/>
      <c r="F589" s="438"/>
      <c r="G589" s="438"/>
      <c r="H589" s="438"/>
      <c r="I589" s="439"/>
      <c r="J589" s="247">
        <f>+SUM(I586:I588)</f>
        <v>22447.671622002355</v>
      </c>
    </row>
    <row r="590" spans="1:12" x14ac:dyDescent="0.25">
      <c r="A590" s="442" t="s">
        <v>101</v>
      </c>
      <c r="B590" s="442"/>
      <c r="C590" s="442"/>
      <c r="D590" s="442"/>
      <c r="E590" s="442"/>
      <c r="F590" s="442"/>
      <c r="G590" s="442"/>
      <c r="H590" s="442"/>
      <c r="I590" s="442"/>
      <c r="J590" s="442"/>
    </row>
    <row r="591" spans="1:12" x14ac:dyDescent="0.25">
      <c r="A591" s="452" t="s">
        <v>2</v>
      </c>
      <c r="B591" s="453"/>
      <c r="C591" s="453"/>
      <c r="D591" s="454"/>
      <c r="E591" s="223" t="s">
        <v>3</v>
      </c>
      <c r="F591" s="223" t="s">
        <v>102</v>
      </c>
      <c r="G591" s="223" t="s">
        <v>4</v>
      </c>
      <c r="H591" s="223" t="s">
        <v>103</v>
      </c>
      <c r="I591" s="223" t="s">
        <v>92</v>
      </c>
      <c r="J591" s="213"/>
    </row>
    <row r="592" spans="1:12" x14ac:dyDescent="0.25">
      <c r="A592" s="448" t="s">
        <v>147</v>
      </c>
      <c r="B592" s="449"/>
      <c r="C592" s="449"/>
      <c r="D592" s="449"/>
      <c r="E592" s="224" t="str">
        <f>+IF(A592="","",VLOOKUP(A592,[46]MATERIALES!$B$7:$D$225,2,FALSE))</f>
        <v>Unidad</v>
      </c>
      <c r="F592" s="225">
        <f>+IF(A592="","",VLOOKUP(A592,[46]MATERIALES!$B$7:$E$225,3,FALSE))</f>
        <v>855600</v>
      </c>
      <c r="G592" s="211">
        <v>1</v>
      </c>
      <c r="H592" s="248"/>
      <c r="I592" s="247">
        <f>IFERROR(F592*G592*(1+H592),"")</f>
        <v>855600</v>
      </c>
      <c r="J592" s="213"/>
    </row>
    <row r="593" spans="1:10" x14ac:dyDescent="0.25">
      <c r="A593" s="448"/>
      <c r="B593" s="449"/>
      <c r="C593" s="449"/>
      <c r="D593" s="449"/>
      <c r="E593" s="224" t="str">
        <f>+IF(A593="","",VLOOKUP(A593,[46]MATERIALES!$B$7:$D$225,2,FALSE))</f>
        <v/>
      </c>
      <c r="F593" s="225" t="str">
        <f>+IF(A593="","",VLOOKUP(A593,[46]MATERIALES!$B$7:$E$225,3,FALSE))</f>
        <v/>
      </c>
      <c r="G593" s="211"/>
      <c r="H593" s="248"/>
      <c r="I593" s="247" t="str">
        <f t="shared" ref="I593:I598" si="66">IFERROR(F593*G593*(1+H593),"")</f>
        <v/>
      </c>
      <c r="J593" s="213"/>
    </row>
    <row r="594" spans="1:10" x14ac:dyDescent="0.25">
      <c r="A594" s="448"/>
      <c r="B594" s="449"/>
      <c r="C594" s="449"/>
      <c r="D594" s="449"/>
      <c r="E594" s="224" t="str">
        <f>+IF(A594="","",VLOOKUP(A594,[46]MATERIALES!$B$7:$D$225,2,FALSE))</f>
        <v/>
      </c>
      <c r="F594" s="225" t="str">
        <f>+IF(A594="","",VLOOKUP(A594,[46]MATERIALES!$B$7:$E$225,3,FALSE))</f>
        <v/>
      </c>
      <c r="G594" s="211"/>
      <c r="H594" s="248"/>
      <c r="I594" s="247" t="str">
        <f t="shared" si="66"/>
        <v/>
      </c>
      <c r="J594" s="213"/>
    </row>
    <row r="595" spans="1:10" x14ac:dyDescent="0.25">
      <c r="A595" s="448"/>
      <c r="B595" s="449"/>
      <c r="C595" s="449"/>
      <c r="D595" s="449"/>
      <c r="E595" s="224" t="str">
        <f>+IF(A595="","",VLOOKUP(A595,[46]MATERIALES!$B$7:$D$225,2,FALSE))</f>
        <v/>
      </c>
      <c r="F595" s="225" t="str">
        <f>+IF(A595="","",VLOOKUP(A595,[46]MATERIALES!$B$7:$E$225,3,FALSE))</f>
        <v/>
      </c>
      <c r="G595" s="211"/>
      <c r="H595" s="248"/>
      <c r="I595" s="247" t="str">
        <f t="shared" si="66"/>
        <v/>
      </c>
      <c r="J595" s="213"/>
    </row>
    <row r="596" spans="1:10" x14ac:dyDescent="0.25">
      <c r="A596" s="448"/>
      <c r="B596" s="449"/>
      <c r="C596" s="449"/>
      <c r="D596" s="449"/>
      <c r="E596" s="224" t="str">
        <f>+IF(A596="","",VLOOKUP(A596,[46]MATERIALES!$B$7:$D$225,2,FALSE))</f>
        <v/>
      </c>
      <c r="F596" s="225" t="str">
        <f>+IF(A596="","",VLOOKUP(A596,[46]MATERIALES!$B$7:$E$225,3,FALSE))</f>
        <v/>
      </c>
      <c r="G596" s="226"/>
      <c r="H596" s="248"/>
      <c r="I596" s="247" t="str">
        <f t="shared" si="66"/>
        <v/>
      </c>
      <c r="J596" s="213"/>
    </row>
    <row r="597" spans="1:10" x14ac:dyDescent="0.25">
      <c r="A597" s="448"/>
      <c r="B597" s="449"/>
      <c r="C597" s="449"/>
      <c r="D597" s="449"/>
      <c r="E597" s="224" t="str">
        <f>+IF(A597="","",VLOOKUP(A597,[46]MATERIALES!$B$7:$D$225,2,FALSE))</f>
        <v/>
      </c>
      <c r="F597" s="225" t="str">
        <f>+IF(A597="","",VLOOKUP(A597,[46]MATERIALES!$B$7:$E$225,3,FALSE))</f>
        <v/>
      </c>
      <c r="G597" s="226"/>
      <c r="H597" s="248"/>
      <c r="I597" s="247" t="str">
        <f t="shared" si="66"/>
        <v/>
      </c>
      <c r="J597" s="213"/>
    </row>
    <row r="598" spans="1:10" x14ac:dyDescent="0.25">
      <c r="A598" s="448"/>
      <c r="B598" s="449"/>
      <c r="C598" s="449"/>
      <c r="D598" s="449"/>
      <c r="E598" s="224" t="str">
        <f>+IF(A598="","",VLOOKUP(A598,[46]MATERIALES!$B$7:$D$225,2,FALSE))</f>
        <v/>
      </c>
      <c r="F598" s="225" t="str">
        <f>+IF(A598="","",VLOOKUP(A598,[46]MATERIALES!$B$7:$E$225,3,FALSE))</f>
        <v/>
      </c>
      <c r="G598" s="226"/>
      <c r="H598" s="248"/>
      <c r="I598" s="247" t="str">
        <f t="shared" si="66"/>
        <v/>
      </c>
      <c r="J598" s="213"/>
    </row>
    <row r="599" spans="1:10" x14ac:dyDescent="0.25">
      <c r="A599" s="444"/>
      <c r="B599" s="445"/>
      <c r="C599" s="445"/>
      <c r="D599" s="445"/>
      <c r="E599" s="224"/>
      <c r="F599" s="225"/>
      <c r="G599" s="226"/>
      <c r="H599" s="248"/>
      <c r="I599" s="249">
        <f t="shared" ref="I599:I601" si="67">IFERROR((ROUND((F599*G599*(1+H599)),0)),"")</f>
        <v>0</v>
      </c>
      <c r="J599" s="213"/>
    </row>
    <row r="600" spans="1:10" x14ac:dyDescent="0.25">
      <c r="A600" s="444"/>
      <c r="B600" s="445"/>
      <c r="C600" s="445"/>
      <c r="D600" s="445"/>
      <c r="E600" s="224" t="str">
        <f>+IF(A600="","",VLOOKUP(A600,[46]MATERIALES!$B$7:$D$225,2,FALSE))</f>
        <v/>
      </c>
      <c r="F600" s="225" t="str">
        <f>+IF(A600="","",VLOOKUP(A600,[46]MATERIALES!$B$7:$E$225,3,FALSE))</f>
        <v/>
      </c>
      <c r="G600" s="238"/>
      <c r="H600" s="248"/>
      <c r="I600" s="249" t="str">
        <f t="shared" si="67"/>
        <v/>
      </c>
      <c r="J600" s="213"/>
    </row>
    <row r="601" spans="1:10" x14ac:dyDescent="0.25">
      <c r="A601" s="444"/>
      <c r="B601" s="445"/>
      <c r="C601" s="445"/>
      <c r="D601" s="445"/>
      <c r="E601" s="224" t="str">
        <f>+IF(A601="","",VLOOKUP(A601,[46]MATERIALES!$B$7:$D$225,2,FALSE))</f>
        <v/>
      </c>
      <c r="F601" s="225" t="str">
        <f>+IF(A601="","",VLOOKUP(A601,[46]MATERIALES!$B$7:$E$225,3,FALSE))</f>
        <v/>
      </c>
      <c r="G601" s="226"/>
      <c r="H601" s="248"/>
      <c r="I601" s="249" t="str">
        <f t="shared" si="67"/>
        <v/>
      </c>
      <c r="J601" s="213"/>
    </row>
    <row r="602" spans="1:10" x14ac:dyDescent="0.25">
      <c r="A602" s="444"/>
      <c r="B602" s="445"/>
      <c r="C602" s="445"/>
      <c r="D602" s="445"/>
      <c r="E602" s="224" t="str">
        <f>+IF(A602="","",VLOOKUP(A602,[46]MATERIALES!$B$7:$D$225,2,FALSE))</f>
        <v/>
      </c>
      <c r="F602" s="225" t="str">
        <f>+IF(A602="","",VLOOKUP(A602,[46]MATERIALES!$B$7:$E$225,3,FALSE))</f>
        <v/>
      </c>
      <c r="G602" s="226"/>
      <c r="H602" s="248"/>
      <c r="I602" s="247" t="str">
        <f t="shared" ref="I602" si="68">IFERROR(F602*G602*(1+H602),"")</f>
        <v/>
      </c>
      <c r="J602" s="213"/>
    </row>
    <row r="603" spans="1:10" x14ac:dyDescent="0.25">
      <c r="A603" s="444"/>
      <c r="B603" s="445"/>
      <c r="C603" s="445"/>
      <c r="D603" s="445"/>
      <c r="E603" s="224" t="str">
        <f>+IF(A603="","",VLOOKUP(A603,[46]MATERIALES!$B$7:$D$225,2,FALSE))</f>
        <v/>
      </c>
      <c r="F603" s="225" t="str">
        <f>+IF(A603="","",VLOOKUP(A603,[46]MATERIALES!$B$7:$E$225,3,FALSE))</f>
        <v/>
      </c>
      <c r="G603" s="226"/>
      <c r="H603" s="248"/>
      <c r="I603" s="247" t="str">
        <f>IFERROR(F603*G603*(1+H603),"")</f>
        <v/>
      </c>
      <c r="J603" s="213"/>
    </row>
    <row r="604" spans="1:10" x14ac:dyDescent="0.25">
      <c r="A604" s="437" t="s">
        <v>100</v>
      </c>
      <c r="B604" s="438"/>
      <c r="C604" s="438"/>
      <c r="D604" s="438"/>
      <c r="E604" s="438"/>
      <c r="F604" s="438"/>
      <c r="G604" s="438"/>
      <c r="H604" s="438"/>
      <c r="I604" s="439"/>
      <c r="J604" s="250">
        <f>SUM(I592:I603)</f>
        <v>855600</v>
      </c>
    </row>
    <row r="605" spans="1:10" x14ac:dyDescent="0.25">
      <c r="A605" s="442" t="s">
        <v>106</v>
      </c>
      <c r="B605" s="442"/>
      <c r="C605" s="442"/>
      <c r="D605" s="442"/>
      <c r="E605" s="442"/>
      <c r="F605" s="442"/>
      <c r="G605" s="442"/>
      <c r="H605" s="442"/>
      <c r="I605" s="442"/>
      <c r="J605" s="442"/>
    </row>
    <row r="606" spans="1:10" ht="22.5" x14ac:dyDescent="0.25">
      <c r="A606" s="443" t="s">
        <v>107</v>
      </c>
      <c r="B606" s="443"/>
      <c r="C606" s="443"/>
      <c r="D606" s="443"/>
      <c r="E606" s="223" t="s">
        <v>108</v>
      </c>
      <c r="F606" s="230" t="s">
        <v>109</v>
      </c>
      <c r="G606" s="223" t="s">
        <v>110</v>
      </c>
      <c r="H606" s="223" t="s">
        <v>111</v>
      </c>
      <c r="I606" s="223" t="s">
        <v>92</v>
      </c>
      <c r="J606" s="213"/>
    </row>
    <row r="607" spans="1:10" x14ac:dyDescent="0.25">
      <c r="A607" s="447"/>
      <c r="B607" s="447"/>
      <c r="C607" s="447"/>
      <c r="D607" s="447"/>
      <c r="E607" s="216"/>
      <c r="F607" s="224"/>
      <c r="G607" s="231"/>
      <c r="H607" s="216"/>
      <c r="I607" s="249"/>
      <c r="J607" s="213"/>
    </row>
    <row r="608" spans="1:10" x14ac:dyDescent="0.25">
      <c r="A608" s="447"/>
      <c r="B608" s="447"/>
      <c r="C608" s="447"/>
      <c r="D608" s="447"/>
      <c r="E608" s="216" t="str">
        <f>+IF(A608="","",VLOOKUP(A608,[46]MATERIALES!$B$7:$E$1222,2,FALSE))</f>
        <v/>
      </c>
      <c r="F608" s="224"/>
      <c r="G608" s="231" t="str">
        <f>+IF(A608="","",VLOOKUP(A608,[46]MATERIALES!$B$7:$E$1222,4,FALSE))</f>
        <v/>
      </c>
      <c r="H608" s="216" t="str">
        <f>+IF(A608="","",VLOOKUP(A608,[46]MATERIALES!$B$7:$E$1222,3,FALSE))</f>
        <v/>
      </c>
      <c r="I608" s="247" t="str">
        <f>IFERROR(G608*H608*F608,"")</f>
        <v/>
      </c>
      <c r="J608" s="213"/>
    </row>
    <row r="609" spans="1:12" x14ac:dyDescent="0.25">
      <c r="A609" s="447"/>
      <c r="B609" s="447"/>
      <c r="C609" s="447"/>
      <c r="D609" s="447"/>
      <c r="E609" s="213"/>
      <c r="F609" s="214"/>
      <c r="G609" s="233"/>
      <c r="H609" s="216"/>
      <c r="I609" s="219"/>
      <c r="J609" s="213"/>
    </row>
    <row r="610" spans="1:12" x14ac:dyDescent="0.25">
      <c r="A610" s="447"/>
      <c r="B610" s="447"/>
      <c r="C610" s="447"/>
      <c r="D610" s="447"/>
      <c r="E610" s="213"/>
      <c r="F610" s="213"/>
      <c r="G610" s="213"/>
      <c r="H610" s="211"/>
      <c r="I610" s="213"/>
      <c r="J610" s="213"/>
    </row>
    <row r="611" spans="1:12" x14ac:dyDescent="0.25">
      <c r="A611" s="437" t="s">
        <v>100</v>
      </c>
      <c r="B611" s="438"/>
      <c r="C611" s="438"/>
      <c r="D611" s="438"/>
      <c r="E611" s="438"/>
      <c r="F611" s="438"/>
      <c r="G611" s="438"/>
      <c r="H611" s="438"/>
      <c r="I611" s="439"/>
      <c r="J611" s="247">
        <f>SUM(I607:I610)</f>
        <v>0</v>
      </c>
    </row>
    <row r="612" spans="1:12" x14ac:dyDescent="0.25">
      <c r="A612" s="442" t="s">
        <v>112</v>
      </c>
      <c r="B612" s="442"/>
      <c r="C612" s="442"/>
      <c r="D612" s="442"/>
      <c r="E612" s="442"/>
      <c r="F612" s="442"/>
      <c r="G612" s="442"/>
      <c r="H612" s="442"/>
      <c r="I612" s="442"/>
      <c r="J612" s="442"/>
    </row>
    <row r="613" spans="1:12" x14ac:dyDescent="0.25">
      <c r="A613" s="443" t="s">
        <v>113</v>
      </c>
      <c r="B613" s="443"/>
      <c r="C613" s="443"/>
      <c r="D613" s="443"/>
      <c r="E613" s="223" t="s">
        <v>114</v>
      </c>
      <c r="F613" s="223" t="s">
        <v>115</v>
      </c>
      <c r="G613" s="234" t="s">
        <v>116</v>
      </c>
      <c r="H613" s="223" t="s">
        <v>91</v>
      </c>
      <c r="I613" s="223" t="s">
        <v>92</v>
      </c>
      <c r="J613" s="213"/>
    </row>
    <row r="614" spans="1:12" x14ac:dyDescent="0.25">
      <c r="A614" s="444" t="s">
        <v>99</v>
      </c>
      <c r="B614" s="445"/>
      <c r="C614" s="446"/>
      <c r="D614" s="211">
        <v>1</v>
      </c>
      <c r="E614" s="251">
        <f>+IF(D614="","",VLOOKUP(A614,$L$4:$O$10,3,FALSE))</f>
        <v>142350</v>
      </c>
      <c r="F614" s="252">
        <f>+IF(D614="","",(VLOOKUP(A614,$L$4:$O$10,4,FALSE))+1)</f>
        <v>1.5821008628015805</v>
      </c>
      <c r="G614" s="219">
        <f>+IFERROR(F614*E614*D614,"")</f>
        <v>225212.05781980499</v>
      </c>
      <c r="H614" s="216">
        <v>1</v>
      </c>
      <c r="I614" s="249">
        <f>IFERROR(G614/H614,"")</f>
        <v>225212.05781980499</v>
      </c>
      <c r="J614" s="213"/>
    </row>
    <row r="615" spans="1:12" ht="13.35" customHeight="1" x14ac:dyDescent="0.25">
      <c r="A615" s="444" t="s">
        <v>93</v>
      </c>
      <c r="B615" s="445"/>
      <c r="C615" s="446"/>
      <c r="D615" s="211">
        <v>1</v>
      </c>
      <c r="E615" s="251">
        <f>+IF(D615="","",VLOOKUP(A615,$L$4:$O$10,3,FALSE))</f>
        <v>77842</v>
      </c>
      <c r="F615" s="252">
        <f>+IF(D615="","",(VLOOKUP(A615,$L$4:$O$10,4,FALSE))+1)</f>
        <v>1.6752877632282406</v>
      </c>
      <c r="G615" s="219">
        <f>+IFERROR(F615*E615*D615,"")</f>
        <v>130407.75006521271</v>
      </c>
      <c r="H615" s="216">
        <f>+H614</f>
        <v>1</v>
      </c>
      <c r="I615" s="249">
        <f t="shared" ref="I615:I616" si="69">IFERROR(G615/H615,"")</f>
        <v>130407.75006521271</v>
      </c>
      <c r="J615" s="213"/>
    </row>
    <row r="616" spans="1:12" ht="13.35" customHeight="1" x14ac:dyDescent="0.25">
      <c r="A616" s="444" t="s">
        <v>86</v>
      </c>
      <c r="B616" s="445"/>
      <c r="C616" s="446"/>
      <c r="D616" s="211">
        <v>1</v>
      </c>
      <c r="E616" s="251">
        <f>+IF(D616="","",VLOOKUP(A616,$L$4:$O$10,3,FALSE))</f>
        <v>54117</v>
      </c>
      <c r="F616" s="252">
        <f>+IF(D616="","",(VLOOKUP(A616,$L$4:$O$10,4,FALSE))+1)</f>
        <v>1.7246636834087141</v>
      </c>
      <c r="G616" s="219">
        <f>+IFERROR(F616*E616*D616,"")</f>
        <v>93333.624555029382</v>
      </c>
      <c r="H616" s="216">
        <f>+H615</f>
        <v>1</v>
      </c>
      <c r="I616" s="249">
        <f t="shared" si="69"/>
        <v>93333.624555029382</v>
      </c>
      <c r="J616" s="213"/>
    </row>
    <row r="617" spans="1:12" x14ac:dyDescent="0.25">
      <c r="A617" s="444"/>
      <c r="B617" s="445"/>
      <c r="C617" s="446"/>
      <c r="D617" s="213"/>
      <c r="E617" s="213"/>
      <c r="F617" s="213"/>
      <c r="G617" s="213"/>
      <c r="H617" s="211"/>
      <c r="I617" s="247"/>
      <c r="J617" s="213"/>
    </row>
    <row r="618" spans="1:12" ht="14.45" customHeight="1" x14ac:dyDescent="0.25">
      <c r="A618" s="437" t="s">
        <v>100</v>
      </c>
      <c r="B618" s="438"/>
      <c r="C618" s="438"/>
      <c r="D618" s="438"/>
      <c r="E618" s="438"/>
      <c r="F618" s="438"/>
      <c r="G618" s="438"/>
      <c r="H618" s="438"/>
      <c r="I618" s="439"/>
      <c r="J618" s="247">
        <f>SUM(I614:I617)</f>
        <v>448953.43244004709</v>
      </c>
    </row>
    <row r="619" spans="1:12" ht="13.35" customHeight="1" x14ac:dyDescent="0.25">
      <c r="A619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619" s="462"/>
      <c r="C619" s="462"/>
      <c r="D619" s="462"/>
      <c r="E619" s="462"/>
      <c r="F619" s="462"/>
      <c r="G619" s="462"/>
      <c r="H619" s="462"/>
      <c r="I619" s="462"/>
      <c r="J619" s="462"/>
    </row>
    <row r="620" spans="1:12" ht="31.9" customHeight="1" x14ac:dyDescent="0.25">
      <c r="A620" s="463"/>
      <c r="B620" s="463"/>
      <c r="C620" s="463"/>
      <c r="D620" s="463"/>
      <c r="E620" s="462"/>
      <c r="F620" s="462"/>
      <c r="G620" s="462"/>
      <c r="H620" s="462"/>
      <c r="I620" s="462"/>
      <c r="J620" s="462"/>
    </row>
    <row r="621" spans="1:12" ht="21.2" customHeight="1" x14ac:dyDescent="0.25">
      <c r="A621" s="242" t="s">
        <v>78</v>
      </c>
      <c r="B621" s="468" t="s">
        <v>79</v>
      </c>
      <c r="C621" s="468"/>
      <c r="D621" s="468"/>
      <c r="E621" s="468"/>
      <c r="F621" s="468"/>
      <c r="G621" s="468"/>
      <c r="H621" s="468"/>
      <c r="I621" s="243" t="s">
        <v>80</v>
      </c>
      <c r="J621" s="244" t="s">
        <v>81</v>
      </c>
    </row>
    <row r="622" spans="1:12" ht="19.149999999999999" customHeight="1" x14ac:dyDescent="0.25">
      <c r="A622" s="203">
        <v>6.01</v>
      </c>
      <c r="B622" s="469" t="str">
        <f>+VLOOKUP(A622,[46]PTO!$B$4:$D$28,2,FALSE)</f>
        <v xml:space="preserve">Construcción de cerramiento en alambre de puas </v>
      </c>
      <c r="C622" s="470"/>
      <c r="D622" s="470"/>
      <c r="E622" s="470"/>
      <c r="F622" s="470"/>
      <c r="G622" s="470"/>
      <c r="H622" s="471"/>
      <c r="I622" s="204" t="str">
        <f>+VLOOKUP(A622,[46]PTO!$B$4:$D$28,3,FALSE)</f>
        <v>m</v>
      </c>
      <c r="J622" s="245">
        <f>+ROUND(SUM(J630:J661),0)</f>
        <v>11139</v>
      </c>
      <c r="L622" s="246" t="e">
        <f>+VLOOKUP(A622,[46]PTO!$B$5:$E$385,5,FALSE)</f>
        <v>#REF!</v>
      </c>
    </row>
    <row r="623" spans="1:12" x14ac:dyDescent="0.25">
      <c r="A623" s="459" t="s">
        <v>87</v>
      </c>
      <c r="B623" s="459"/>
      <c r="C623" s="459"/>
      <c r="D623" s="459"/>
      <c r="E623" s="459"/>
      <c r="F623" s="459"/>
      <c r="G623" s="459"/>
      <c r="H623" s="459"/>
      <c r="I623" s="442"/>
      <c r="J623" s="442"/>
    </row>
    <row r="624" spans="1:12" x14ac:dyDescent="0.25">
      <c r="A624" s="460" t="s">
        <v>2</v>
      </c>
      <c r="B624" s="460"/>
      <c r="C624" s="460"/>
      <c r="D624" s="460"/>
      <c r="E624" s="460"/>
      <c r="F624" s="223" t="s">
        <v>89</v>
      </c>
      <c r="G624" s="234" t="s">
        <v>90</v>
      </c>
      <c r="H624" s="223" t="s">
        <v>91</v>
      </c>
      <c r="I624" s="223" t="s">
        <v>92</v>
      </c>
      <c r="J624" s="213"/>
    </row>
    <row r="625" spans="1:12" x14ac:dyDescent="0.25">
      <c r="A625" s="451" t="s">
        <v>95</v>
      </c>
      <c r="B625" s="451"/>
      <c r="C625" s="451"/>
      <c r="D625" s="451"/>
      <c r="E625" s="451"/>
      <c r="F625" s="214"/>
      <c r="G625" s="215">
        <v>0.05</v>
      </c>
      <c r="H625" s="216"/>
      <c r="I625" s="247">
        <f>+J661*G625</f>
        <v>195.76399593107703</v>
      </c>
      <c r="J625" s="213"/>
    </row>
    <row r="626" spans="1:12" x14ac:dyDescent="0.25">
      <c r="A626" s="461" t="s">
        <v>127</v>
      </c>
      <c r="B626" s="461"/>
      <c r="C626" s="461"/>
      <c r="D626" s="461"/>
      <c r="E626" s="461"/>
      <c r="F626" s="224" t="str">
        <f>+IF(A626="","",VLOOKUP(A626,[46]MATERIALES!$B$7:$D$1222,2,FALSE))</f>
        <v>DIA</v>
      </c>
      <c r="G626" s="225">
        <f>+IF(A626="","",VLOOKUP(A626,[46]MATERIALES!$B$7:$E$1222,3,FALSE))</f>
        <v>32500</v>
      </c>
      <c r="H626" s="238">
        <f>IF(A626="","",IFERROR(1/H657,""))</f>
        <v>0.01</v>
      </c>
      <c r="I626" s="247">
        <f t="shared" ref="I626:I629" si="70">IFERROR(G626*H626,"")</f>
        <v>325</v>
      </c>
      <c r="J626" s="213"/>
    </row>
    <row r="627" spans="1:12" x14ac:dyDescent="0.25">
      <c r="A627" s="451"/>
      <c r="B627" s="451"/>
      <c r="C627" s="451"/>
      <c r="D627" s="451"/>
      <c r="E627" s="451"/>
      <c r="F627" s="224" t="str">
        <f>+IF(A627="","",VLOOKUP(A627,[46]MATERIALES!$B$7:$D$1222,2,FALSE))</f>
        <v/>
      </c>
      <c r="G627" s="225" t="str">
        <f>+IF(A627="","",VLOOKUP(A627,[46]MATERIALES!$B$7:$E$1222,3,FALSE))</f>
        <v/>
      </c>
      <c r="H627" s="238" t="str">
        <f>IF(A627="","",IFERROR(1/H658,""))</f>
        <v/>
      </c>
      <c r="I627" s="247" t="str">
        <f t="shared" si="70"/>
        <v/>
      </c>
      <c r="J627" s="213"/>
    </row>
    <row r="628" spans="1:12" x14ac:dyDescent="0.25">
      <c r="A628" s="451"/>
      <c r="B628" s="451"/>
      <c r="C628" s="451"/>
      <c r="D628" s="451"/>
      <c r="E628" s="451"/>
      <c r="F628" s="224" t="str">
        <f>+IF(A628="","",VLOOKUP(A628,[46]MATERIALES!$B$7:$D$1222,2,FALSE))</f>
        <v/>
      </c>
      <c r="G628" s="225" t="str">
        <f>+IF(A628="","",VLOOKUP(A628,[46]MATERIALES!$B$7:$E$1222,3,FALSE))</f>
        <v/>
      </c>
      <c r="H628" s="238" t="str">
        <f>IF(A628="","",IFERROR(1/H657,""))</f>
        <v/>
      </c>
      <c r="I628" s="247" t="str">
        <f t="shared" si="70"/>
        <v/>
      </c>
      <c r="J628" s="213"/>
    </row>
    <row r="629" spans="1:12" x14ac:dyDescent="0.25">
      <c r="A629" s="451"/>
      <c r="B629" s="451"/>
      <c r="C629" s="451"/>
      <c r="D629" s="451"/>
      <c r="E629" s="451"/>
      <c r="F629" s="224" t="str">
        <f>+IF(A629="","",VLOOKUP(A629,[46]MATERIALES!$B$7:$D$1222,2,FALSE))</f>
        <v/>
      </c>
      <c r="G629" s="225" t="str">
        <f>+IF(A629="","",VLOOKUP(A629,[46]MATERIALES!$B$7:$E$1222,3,FALSE))</f>
        <v/>
      </c>
      <c r="H629" s="238" t="str">
        <f>IF(A629="","",IFERROR(1/H658,""))</f>
        <v/>
      </c>
      <c r="I629" s="247" t="str">
        <f t="shared" si="70"/>
        <v/>
      </c>
      <c r="J629" s="219"/>
    </row>
    <row r="630" spans="1:12" x14ac:dyDescent="0.25">
      <c r="A630" s="437" t="s">
        <v>100</v>
      </c>
      <c r="B630" s="438"/>
      <c r="C630" s="438"/>
      <c r="D630" s="438"/>
      <c r="E630" s="438"/>
      <c r="F630" s="438"/>
      <c r="G630" s="438"/>
      <c r="H630" s="438"/>
      <c r="I630" s="439"/>
      <c r="J630" s="247">
        <f>+SUM(I625:I629)</f>
        <v>520.76399593107703</v>
      </c>
    </row>
    <row r="631" spans="1:12" x14ac:dyDescent="0.25">
      <c r="A631" s="442" t="s">
        <v>101</v>
      </c>
      <c r="B631" s="442"/>
      <c r="C631" s="442"/>
      <c r="D631" s="442"/>
      <c r="E631" s="442"/>
      <c r="F631" s="442"/>
      <c r="G631" s="442"/>
      <c r="H631" s="442"/>
      <c r="I631" s="442"/>
      <c r="J631" s="442"/>
    </row>
    <row r="632" spans="1:12" x14ac:dyDescent="0.25">
      <c r="A632" s="452" t="s">
        <v>2</v>
      </c>
      <c r="B632" s="453"/>
      <c r="C632" s="453"/>
      <c r="D632" s="454"/>
      <c r="E632" s="223" t="s">
        <v>3</v>
      </c>
      <c r="F632" s="223" t="s">
        <v>102</v>
      </c>
      <c r="G632" s="223" t="s">
        <v>4</v>
      </c>
      <c r="H632" s="223" t="s">
        <v>103</v>
      </c>
      <c r="I632" s="223" t="s">
        <v>92</v>
      </c>
      <c r="J632" s="213"/>
    </row>
    <row r="633" spans="1:12" ht="13.35" customHeight="1" x14ac:dyDescent="0.25">
      <c r="A633" s="448" t="s">
        <v>148</v>
      </c>
      <c r="B633" s="449"/>
      <c r="C633" s="449"/>
      <c r="D633" s="449"/>
      <c r="E633" s="224" t="str">
        <f>+IF(A633="","",VLOOKUP(A633,[46]MATERIALES!$B$7:$D$225,2,FALSE))</f>
        <v>Rollo</v>
      </c>
      <c r="F633" s="225">
        <f>+IF(A633="","",VLOOKUP(A633,[46]MATERIALES!$B$7:$E$225,3,FALSE))</f>
        <v>119900</v>
      </c>
      <c r="G633" s="211">
        <f>(1/125)*5</f>
        <v>0.04</v>
      </c>
      <c r="H633" s="248">
        <v>0.05</v>
      </c>
      <c r="I633" s="247">
        <f>IFERROR(F633*G633*(1+H633),"")</f>
        <v>5035.8</v>
      </c>
      <c r="J633" s="213"/>
    </row>
    <row r="634" spans="1:12" ht="13.35" customHeight="1" x14ac:dyDescent="0.25">
      <c r="A634" s="448"/>
      <c r="B634" s="449"/>
      <c r="C634" s="449"/>
      <c r="D634" s="449"/>
      <c r="E634" s="224" t="str">
        <f>+IF(A634="","",VLOOKUP(A634,[46]MATERIALES!$B$7:$D$225,2,FALSE))</f>
        <v/>
      </c>
      <c r="F634" s="225" t="str">
        <f>+IF(A634="","",VLOOKUP(A634,[46]MATERIALES!$B$7:$E$225,3,FALSE))</f>
        <v/>
      </c>
      <c r="G634" s="211"/>
      <c r="H634" s="248"/>
      <c r="I634" s="247" t="str">
        <f>IFERROR(F634*G634*(1+H634),"")</f>
        <v/>
      </c>
      <c r="J634" s="213"/>
      <c r="L634" s="192">
        <f>119900/125</f>
        <v>959.2</v>
      </c>
    </row>
    <row r="635" spans="1:12" ht="13.35" customHeight="1" x14ac:dyDescent="0.25">
      <c r="A635" s="448"/>
      <c r="B635" s="449"/>
      <c r="C635" s="449"/>
      <c r="D635" s="449"/>
      <c r="E635" s="224" t="str">
        <f>+IF(A635="","",VLOOKUP(A635,[46]MATERIALES!$B$7:$D$225,2,FALSE))</f>
        <v/>
      </c>
      <c r="F635" s="225" t="str">
        <f>+IF(A635="","",VLOOKUP(A635,[46]MATERIALES!$B$7:$E$225,3,FALSE))</f>
        <v/>
      </c>
      <c r="G635" s="211"/>
      <c r="H635" s="248"/>
      <c r="I635" s="247" t="str">
        <f t="shared" ref="I635:I644" si="71">IFERROR(F635*G635*(1+H635),"")</f>
        <v/>
      </c>
      <c r="J635" s="213"/>
    </row>
    <row r="636" spans="1:12" ht="13.35" customHeight="1" x14ac:dyDescent="0.25">
      <c r="A636" s="448"/>
      <c r="B636" s="449"/>
      <c r="C636" s="449"/>
      <c r="D636" s="449"/>
      <c r="E636" s="224" t="str">
        <f>+IF(A636="","",VLOOKUP(A636,[46]MATERIALES!$B$7:$D$225,2,FALSE))</f>
        <v/>
      </c>
      <c r="F636" s="225" t="str">
        <f>+IF(A636="","",VLOOKUP(A636,[46]MATERIALES!$B$7:$E$225,3,FALSE))</f>
        <v/>
      </c>
      <c r="G636" s="211"/>
      <c r="H636" s="248"/>
      <c r="I636" s="247" t="str">
        <f t="shared" si="71"/>
        <v/>
      </c>
      <c r="J636" s="213"/>
    </row>
    <row r="637" spans="1:12" ht="13.35" customHeight="1" x14ac:dyDescent="0.25">
      <c r="A637" s="448"/>
      <c r="B637" s="449"/>
      <c r="C637" s="449"/>
      <c r="D637" s="449"/>
      <c r="E637" s="224" t="str">
        <f>+IF(A637="","",VLOOKUP(A637,[46]MATERIALES!$B$7:$D$225,2,FALSE))</f>
        <v/>
      </c>
      <c r="F637" s="225" t="str">
        <f>+IF(A637="","",VLOOKUP(A637,[46]MATERIALES!$B$7:$E$225,3,FALSE))</f>
        <v/>
      </c>
      <c r="G637" s="211"/>
      <c r="H637" s="248"/>
      <c r="I637" s="247" t="str">
        <f t="shared" si="71"/>
        <v/>
      </c>
      <c r="J637" s="213"/>
    </row>
    <row r="638" spans="1:12" ht="13.35" customHeight="1" x14ac:dyDescent="0.25">
      <c r="A638" s="448"/>
      <c r="B638" s="449"/>
      <c r="C638" s="449"/>
      <c r="D638" s="449"/>
      <c r="E638" s="224" t="str">
        <f>+IF(A638="","",VLOOKUP(A638,[46]MATERIALES!$B$7:$D$225,2,FALSE))</f>
        <v/>
      </c>
      <c r="F638" s="225" t="str">
        <f>+IF(A638="","",VLOOKUP(A638,[46]MATERIALES!$B$7:$E$225,3,FALSE))</f>
        <v/>
      </c>
      <c r="G638" s="211"/>
      <c r="H638" s="248"/>
      <c r="I638" s="247" t="str">
        <f t="shared" si="71"/>
        <v/>
      </c>
      <c r="J638" s="213"/>
    </row>
    <row r="639" spans="1:12" ht="13.35" customHeight="1" x14ac:dyDescent="0.25">
      <c r="A639" s="448"/>
      <c r="B639" s="449"/>
      <c r="C639" s="449"/>
      <c r="D639" s="449"/>
      <c r="E639" s="224" t="str">
        <f>+IF(A639="","",VLOOKUP(A639,[46]MATERIALES!$B$7:$D$225,2,FALSE))</f>
        <v/>
      </c>
      <c r="F639" s="225" t="str">
        <f>+IF(A639="","",VLOOKUP(A639,[46]MATERIALES!$B$7:$E$225,3,FALSE))</f>
        <v/>
      </c>
      <c r="G639" s="211"/>
      <c r="H639" s="248"/>
      <c r="I639" s="247" t="str">
        <f t="shared" si="71"/>
        <v/>
      </c>
      <c r="J639" s="213"/>
    </row>
    <row r="640" spans="1:12" ht="13.35" customHeight="1" x14ac:dyDescent="0.25">
      <c r="A640" s="448"/>
      <c r="B640" s="449"/>
      <c r="C640" s="449"/>
      <c r="D640" s="449"/>
      <c r="E640" s="224" t="str">
        <f>+IF(A640="","",VLOOKUP(A640,[46]MATERIALES!$B$7:$D$225,2,FALSE))</f>
        <v/>
      </c>
      <c r="F640" s="225" t="str">
        <f>+IF(A640="","",VLOOKUP(A640,[46]MATERIALES!$B$7:$E$225,3,FALSE))</f>
        <v/>
      </c>
      <c r="G640" s="211"/>
      <c r="H640" s="248"/>
      <c r="I640" s="247" t="str">
        <f t="shared" si="71"/>
        <v/>
      </c>
      <c r="J640" s="213"/>
    </row>
    <row r="641" spans="1:10" ht="13.35" customHeight="1" x14ac:dyDescent="0.25">
      <c r="A641" s="448"/>
      <c r="B641" s="449"/>
      <c r="C641" s="449"/>
      <c r="D641" s="449"/>
      <c r="E641" s="224" t="str">
        <f>+IF(A641="","",VLOOKUP(A641,[46]MATERIALES!$B$7:$D$225,2,FALSE))</f>
        <v/>
      </c>
      <c r="F641" s="225" t="str">
        <f>+IF(A641="","",VLOOKUP(A641,[46]MATERIALES!$B$7:$E$225,3,FALSE))</f>
        <v/>
      </c>
      <c r="G641" s="211"/>
      <c r="H641" s="248"/>
      <c r="I641" s="247" t="str">
        <f t="shared" si="71"/>
        <v/>
      </c>
      <c r="J641" s="213"/>
    </row>
    <row r="642" spans="1:10" ht="13.35" customHeight="1" x14ac:dyDescent="0.25">
      <c r="A642" s="448"/>
      <c r="B642" s="449"/>
      <c r="C642" s="449"/>
      <c r="D642" s="449"/>
      <c r="E642" s="224" t="str">
        <f>+IF(A642="","",VLOOKUP(A642,[46]MATERIALES!$B$7:$D$225,2,FALSE))</f>
        <v/>
      </c>
      <c r="F642" s="225" t="str">
        <f>+IF(A642="","",VLOOKUP(A642,[46]MATERIALES!$B$7:$E$225,3,FALSE))</f>
        <v/>
      </c>
      <c r="G642" s="211"/>
      <c r="H642" s="248"/>
      <c r="I642" s="247" t="str">
        <f t="shared" si="71"/>
        <v/>
      </c>
      <c r="J642" s="213"/>
    </row>
    <row r="643" spans="1:10" ht="13.35" customHeight="1" x14ac:dyDescent="0.25">
      <c r="A643" s="448"/>
      <c r="B643" s="449"/>
      <c r="C643" s="449"/>
      <c r="D643" s="449"/>
      <c r="E643" s="224" t="str">
        <f>+IF(A643="","",VLOOKUP(A643,[46]MATERIALES!$B$7:$D$225,2,FALSE))</f>
        <v/>
      </c>
      <c r="F643" s="225" t="str">
        <f>+IF(A643="","",VLOOKUP(A643,[46]MATERIALES!$B$7:$E$225,3,FALSE))</f>
        <v/>
      </c>
      <c r="G643" s="211"/>
      <c r="H643" s="248"/>
      <c r="I643" s="247" t="str">
        <f t="shared" si="71"/>
        <v/>
      </c>
      <c r="J643" s="213"/>
    </row>
    <row r="644" spans="1:10" x14ac:dyDescent="0.25">
      <c r="A644" s="448"/>
      <c r="B644" s="449"/>
      <c r="C644" s="449"/>
      <c r="D644" s="450"/>
      <c r="E644" s="224" t="str">
        <f>+IF(A644="","",VLOOKUP(A644,[46]MATERIALES!$B$7:$D$225,2,FALSE))</f>
        <v/>
      </c>
      <c r="F644" s="225" t="str">
        <f>+IF(A644="","",VLOOKUP(A644,[46]MATERIALES!$B$7:$E$225,3,FALSE))</f>
        <v/>
      </c>
      <c r="G644" s="226"/>
      <c r="H644" s="248"/>
      <c r="I644" s="247" t="str">
        <f t="shared" si="71"/>
        <v/>
      </c>
      <c r="J644" s="213"/>
    </row>
    <row r="645" spans="1:10" x14ac:dyDescent="0.25">
      <c r="A645" s="444"/>
      <c r="B645" s="445"/>
      <c r="C645" s="445"/>
      <c r="D645" s="445"/>
      <c r="E645" s="224"/>
      <c r="F645" s="225"/>
      <c r="G645" s="226"/>
      <c r="H645" s="248"/>
      <c r="I645" s="247"/>
      <c r="J645" s="213"/>
    </row>
    <row r="646" spans="1:10" x14ac:dyDescent="0.25">
      <c r="A646" s="444"/>
      <c r="B646" s="445"/>
      <c r="C646" s="445"/>
      <c r="D646" s="445"/>
      <c r="E646" s="213"/>
      <c r="F646" s="214"/>
      <c r="G646" s="218"/>
      <c r="H646" s="248"/>
      <c r="I646" s="247">
        <f>IFERROR(F646*G646*(1+H646),"")</f>
        <v>0</v>
      </c>
      <c r="J646" s="213"/>
    </row>
    <row r="647" spans="1:10" x14ac:dyDescent="0.25">
      <c r="A647" s="437" t="s">
        <v>100</v>
      </c>
      <c r="B647" s="438"/>
      <c r="C647" s="438"/>
      <c r="D647" s="438"/>
      <c r="E647" s="438"/>
      <c r="F647" s="438"/>
      <c r="G647" s="438"/>
      <c r="H647" s="438"/>
      <c r="I647" s="439"/>
      <c r="J647" s="247">
        <f>SUM(I633:I646)</f>
        <v>5035.8</v>
      </c>
    </row>
    <row r="648" spans="1:10" x14ac:dyDescent="0.25">
      <c r="A648" s="442" t="s">
        <v>106</v>
      </c>
      <c r="B648" s="442"/>
      <c r="C648" s="442"/>
      <c r="D648" s="442"/>
      <c r="E648" s="442"/>
      <c r="F648" s="442"/>
      <c r="G648" s="442"/>
      <c r="H648" s="442"/>
      <c r="I648" s="442"/>
      <c r="J648" s="442"/>
    </row>
    <row r="649" spans="1:10" ht="22.5" x14ac:dyDescent="0.25">
      <c r="A649" s="443" t="s">
        <v>107</v>
      </c>
      <c r="B649" s="443"/>
      <c r="C649" s="443"/>
      <c r="D649" s="443"/>
      <c r="E649" s="223" t="s">
        <v>108</v>
      </c>
      <c r="F649" s="230" t="s">
        <v>109</v>
      </c>
      <c r="G649" s="223" t="s">
        <v>110</v>
      </c>
      <c r="H649" s="223" t="s">
        <v>111</v>
      </c>
      <c r="I649" s="223" t="s">
        <v>92</v>
      </c>
      <c r="J649" s="213"/>
    </row>
    <row r="650" spans="1:10" x14ac:dyDescent="0.25">
      <c r="A650" s="447" t="s">
        <v>133</v>
      </c>
      <c r="B650" s="447"/>
      <c r="C650" s="447"/>
      <c r="D650" s="447"/>
      <c r="E650" s="216" t="str">
        <f>+IF(A650="","",VLOOKUP(A650,[46]MATERIALES!$B$7:$E$1222,2,FALSE))</f>
        <v>m3/km</v>
      </c>
      <c r="F650" s="224">
        <v>0.02</v>
      </c>
      <c r="G650" s="231">
        <f>+IF(A650="","",VLOOKUP(A650,[46]MATERIALES!$B$7:$E$1222,4,FALSE))</f>
        <v>9.6</v>
      </c>
      <c r="H650" s="216">
        <f>+IF(A650="","",VLOOKUP(A650,[46]MATERIALES!$B$7:$E$1222,3,FALSE))</f>
        <v>8681</v>
      </c>
      <c r="I650" s="247">
        <f>IFERROR(G650*H650*F650,"")</f>
        <v>1666.752</v>
      </c>
      <c r="J650" s="213"/>
    </row>
    <row r="651" spans="1:10" x14ac:dyDescent="0.25">
      <c r="A651" s="447"/>
      <c r="B651" s="447"/>
      <c r="C651" s="447"/>
      <c r="D651" s="447"/>
      <c r="E651" s="216" t="str">
        <f>+IF(A651="","",VLOOKUP(A651,[46]MATERIALES!$B$7:$E$1222,2,FALSE))</f>
        <v/>
      </c>
      <c r="F651" s="224"/>
      <c r="G651" s="231" t="str">
        <f>+IF(A651="","",VLOOKUP(A651,[46]MATERIALES!$B$7:$E$1222,4,FALSE))</f>
        <v/>
      </c>
      <c r="H651" s="216" t="str">
        <f>+IF(A651="","",VLOOKUP(A651,[46]MATERIALES!$B$7:$E$1222,3,FALSE))</f>
        <v/>
      </c>
      <c r="I651" s="247" t="str">
        <f>IFERROR(G651*H651*F651,"")</f>
        <v/>
      </c>
      <c r="J651" s="213"/>
    </row>
    <row r="652" spans="1:10" x14ac:dyDescent="0.25">
      <c r="A652" s="447"/>
      <c r="B652" s="447"/>
      <c r="C652" s="447"/>
      <c r="D652" s="447"/>
      <c r="E652" s="213"/>
      <c r="F652" s="214"/>
      <c r="G652" s="233"/>
      <c r="H652" s="216"/>
      <c r="I652" s="219"/>
      <c r="J652" s="213"/>
    </row>
    <row r="653" spans="1:10" x14ac:dyDescent="0.25">
      <c r="A653" s="447"/>
      <c r="B653" s="447"/>
      <c r="C653" s="447"/>
      <c r="D653" s="447"/>
      <c r="E653" s="213"/>
      <c r="F653" s="213"/>
      <c r="G653" s="213"/>
      <c r="H653" s="211"/>
      <c r="I653" s="213"/>
      <c r="J653" s="213"/>
    </row>
    <row r="654" spans="1:10" x14ac:dyDescent="0.25">
      <c r="A654" s="437" t="s">
        <v>100</v>
      </c>
      <c r="B654" s="438"/>
      <c r="C654" s="438"/>
      <c r="D654" s="438"/>
      <c r="E654" s="438"/>
      <c r="F654" s="438"/>
      <c r="G654" s="438"/>
      <c r="H654" s="438"/>
      <c r="I654" s="439"/>
      <c r="J654" s="247">
        <f>SUM(I650:I653)</f>
        <v>1666.752</v>
      </c>
    </row>
    <row r="655" spans="1:10" x14ac:dyDescent="0.25">
      <c r="A655" s="442" t="s">
        <v>112</v>
      </c>
      <c r="B655" s="442"/>
      <c r="C655" s="442"/>
      <c r="D655" s="442"/>
      <c r="E655" s="442"/>
      <c r="F655" s="442"/>
      <c r="G655" s="442"/>
      <c r="H655" s="442"/>
      <c r="I655" s="442"/>
      <c r="J655" s="442"/>
    </row>
    <row r="656" spans="1:10" x14ac:dyDescent="0.25">
      <c r="A656" s="443" t="s">
        <v>113</v>
      </c>
      <c r="B656" s="443"/>
      <c r="C656" s="443"/>
      <c r="D656" s="443"/>
      <c r="E656" s="223" t="s">
        <v>114</v>
      </c>
      <c r="F656" s="223" t="s">
        <v>115</v>
      </c>
      <c r="G656" s="234" t="s">
        <v>116</v>
      </c>
      <c r="H656" s="223" t="s">
        <v>91</v>
      </c>
      <c r="I656" s="223" t="s">
        <v>92</v>
      </c>
      <c r="J656" s="213"/>
    </row>
    <row r="657" spans="1:12" x14ac:dyDescent="0.25">
      <c r="A657" s="444" t="s">
        <v>97</v>
      </c>
      <c r="B657" s="445"/>
      <c r="C657" s="446"/>
      <c r="D657" s="211">
        <v>1</v>
      </c>
      <c r="E657" s="251">
        <f>+IF(D657="","",VLOOKUP(A657,$L$4:$O$10,3,FALSE))</f>
        <v>101567</v>
      </c>
      <c r="F657" s="252">
        <f>+IF(D657="","",(VLOOKUP(A657,$L$4:$O$10,4,FALSE))+1)</f>
        <v>1.6519796512835072</v>
      </c>
      <c r="G657" s="219">
        <f>+IFERROR(F657*E657*D657,"")</f>
        <v>167786.61724191197</v>
      </c>
      <c r="H657" s="216">
        <v>100</v>
      </c>
      <c r="I657" s="247">
        <f>IFERROR(G657/H657,"")</f>
        <v>1677.8661724191197</v>
      </c>
      <c r="J657" s="213"/>
    </row>
    <row r="658" spans="1:12" ht="13.35" customHeight="1" x14ac:dyDescent="0.25">
      <c r="A658" s="444" t="s">
        <v>93</v>
      </c>
      <c r="B658" s="445"/>
      <c r="C658" s="446"/>
      <c r="D658" s="211">
        <v>1</v>
      </c>
      <c r="E658" s="251">
        <f>+IF(D658="","",VLOOKUP(A658,$L$4:$O$10,3,FALSE))</f>
        <v>77842</v>
      </c>
      <c r="F658" s="252">
        <f>+IF(D658="","",(VLOOKUP(A658,$L$4:$O$10,4,FALSE))+1)</f>
        <v>1.6752877632282406</v>
      </c>
      <c r="G658" s="219">
        <f>+IFERROR(F658*E658*D658,"")</f>
        <v>130407.75006521271</v>
      </c>
      <c r="H658" s="216">
        <f>+H657</f>
        <v>100</v>
      </c>
      <c r="I658" s="247">
        <f t="shared" ref="I658:I659" si="72">IFERROR(G658/H658,"")</f>
        <v>1304.0775006521271</v>
      </c>
      <c r="J658" s="213"/>
    </row>
    <row r="659" spans="1:12" ht="13.35" customHeight="1" x14ac:dyDescent="0.25">
      <c r="A659" s="444" t="s">
        <v>86</v>
      </c>
      <c r="B659" s="445"/>
      <c r="C659" s="446"/>
      <c r="D659" s="211">
        <v>1</v>
      </c>
      <c r="E659" s="251">
        <f>+IF(D659="","",VLOOKUP(A659,$L$4:$O$10,3,FALSE))</f>
        <v>54117</v>
      </c>
      <c r="F659" s="252">
        <f>+IF(D659="","",(VLOOKUP(A659,$L$4:$O$10,4,FALSE))+1)</f>
        <v>1.7246636834087141</v>
      </c>
      <c r="G659" s="219">
        <f>+IFERROR(F659*E659*D659,"")</f>
        <v>93333.624555029382</v>
      </c>
      <c r="H659" s="216">
        <f>+IF(D659="","",IFERROR(H658,""))</f>
        <v>100</v>
      </c>
      <c r="I659" s="247">
        <f t="shared" si="72"/>
        <v>933.33624555029382</v>
      </c>
      <c r="J659" s="213"/>
    </row>
    <row r="660" spans="1:12" x14ac:dyDescent="0.25">
      <c r="A660" s="444"/>
      <c r="B660" s="445"/>
      <c r="C660" s="446"/>
      <c r="D660" s="213"/>
      <c r="E660" s="213"/>
      <c r="F660" s="213"/>
      <c r="G660" s="213"/>
      <c r="H660" s="211"/>
      <c r="I660" s="247"/>
      <c r="J660" s="213"/>
    </row>
    <row r="661" spans="1:12" ht="14.45" customHeight="1" x14ac:dyDescent="0.25">
      <c r="A661" s="437" t="s">
        <v>100</v>
      </c>
      <c r="B661" s="438"/>
      <c r="C661" s="438"/>
      <c r="D661" s="438"/>
      <c r="E661" s="438"/>
      <c r="F661" s="438"/>
      <c r="G661" s="438"/>
      <c r="H661" s="438"/>
      <c r="I661" s="439"/>
      <c r="J661" s="247">
        <f>SUM(I657:I660)</f>
        <v>3915.2799186215407</v>
      </c>
    </row>
    <row r="662" spans="1:12" ht="13.35" customHeight="1" x14ac:dyDescent="0.25">
      <c r="A662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662" s="462"/>
      <c r="C662" s="462"/>
      <c r="D662" s="462"/>
      <c r="E662" s="462"/>
      <c r="F662" s="462"/>
      <c r="G662" s="462"/>
      <c r="H662" s="462"/>
      <c r="I662" s="462"/>
      <c r="J662" s="462"/>
    </row>
    <row r="663" spans="1:12" ht="32.65" customHeight="1" x14ac:dyDescent="0.25">
      <c r="A663" s="463"/>
      <c r="B663" s="463"/>
      <c r="C663" s="463"/>
      <c r="D663" s="463"/>
      <c r="E663" s="462"/>
      <c r="F663" s="462"/>
      <c r="G663" s="462"/>
      <c r="H663" s="462"/>
      <c r="I663" s="462"/>
      <c r="J663" s="462"/>
    </row>
    <row r="664" spans="1:12" ht="19.7" customHeight="1" x14ac:dyDescent="0.25">
      <c r="A664" s="242" t="s">
        <v>78</v>
      </c>
      <c r="B664" s="468" t="s">
        <v>79</v>
      </c>
      <c r="C664" s="468"/>
      <c r="D664" s="468"/>
      <c r="E664" s="468"/>
      <c r="F664" s="468"/>
      <c r="G664" s="468"/>
      <c r="H664" s="468"/>
      <c r="I664" s="243" t="s">
        <v>80</v>
      </c>
      <c r="J664" s="244" t="s">
        <v>81</v>
      </c>
    </row>
    <row r="665" spans="1:12" ht="18.399999999999999" customHeight="1" x14ac:dyDescent="0.25">
      <c r="A665" s="203">
        <v>7.01</v>
      </c>
      <c r="B665" s="469" t="e">
        <f>+VLOOKUP(A665,[46]PTO!$B$4:$D$28,2,FALSE)</f>
        <v>#N/A</v>
      </c>
      <c r="C665" s="470"/>
      <c r="D665" s="470"/>
      <c r="E665" s="470"/>
      <c r="F665" s="470"/>
      <c r="G665" s="470"/>
      <c r="H665" s="471"/>
      <c r="I665" s="204" t="e">
        <f>+VLOOKUP(A665,[46]PTO!$B$4:$D$28,3,FALSE)</f>
        <v>#N/A</v>
      </c>
      <c r="J665" s="245">
        <f>+ROUND(SUM(J673:J696),0)</f>
        <v>22446</v>
      </c>
      <c r="L665" s="246" t="e">
        <f>+VLOOKUP(A665,[46]PTO!$B$5:$E$385,5,FALSE)</f>
        <v>#N/A</v>
      </c>
    </row>
    <row r="666" spans="1:12" x14ac:dyDescent="0.25">
      <c r="A666" s="459" t="s">
        <v>87</v>
      </c>
      <c r="B666" s="459"/>
      <c r="C666" s="459"/>
      <c r="D666" s="459"/>
      <c r="E666" s="459"/>
      <c r="F666" s="459"/>
      <c r="G666" s="459"/>
      <c r="H666" s="459"/>
      <c r="I666" s="442"/>
      <c r="J666" s="442"/>
    </row>
    <row r="667" spans="1:12" x14ac:dyDescent="0.25">
      <c r="A667" s="460" t="s">
        <v>2</v>
      </c>
      <c r="B667" s="460"/>
      <c r="C667" s="460"/>
      <c r="D667" s="460"/>
      <c r="E667" s="460"/>
      <c r="F667" s="223" t="s">
        <v>89</v>
      </c>
      <c r="G667" s="234" t="s">
        <v>90</v>
      </c>
      <c r="H667" s="223" t="s">
        <v>91</v>
      </c>
      <c r="I667" s="223" t="s">
        <v>92</v>
      </c>
      <c r="J667" s="213"/>
    </row>
    <row r="668" spans="1:12" x14ac:dyDescent="0.25">
      <c r="A668" s="451" t="s">
        <v>95</v>
      </c>
      <c r="B668" s="451"/>
      <c r="C668" s="451"/>
      <c r="D668" s="451"/>
      <c r="E668" s="451"/>
      <c r="F668" s="214"/>
      <c r="G668" s="215">
        <v>0.05</v>
      </c>
      <c r="H668" s="216"/>
      <c r="I668" s="247">
        <f>+J700*G668</f>
        <v>446.46053892951818</v>
      </c>
      <c r="J668" s="213"/>
    </row>
    <row r="669" spans="1:12" ht="13.35" customHeight="1" x14ac:dyDescent="0.25">
      <c r="A669" s="451" t="s">
        <v>120</v>
      </c>
      <c r="B669" s="451"/>
      <c r="C669" s="451"/>
      <c r="D669" s="451"/>
      <c r="E669" s="451"/>
      <c r="F669" s="224" t="str">
        <f>+IF(A669="","",VLOOKUP(A669,[46]MATERIALES!$B$7:$D$1222,2,FALSE))</f>
        <v>DIA</v>
      </c>
      <c r="G669" s="225">
        <f>+IF(A669="","",VLOOKUP(A669,[46]MATERIALES!$B$7:$E$1222,3,FALSE))</f>
        <v>120000</v>
      </c>
      <c r="H669" s="238">
        <f>IF(A669="","",IFERROR(1/H696,""))</f>
        <v>2.0833333333333332E-2</v>
      </c>
      <c r="I669" s="247">
        <f t="shared" ref="I669:I672" si="73">IFERROR(G669*H669,"")</f>
        <v>2500</v>
      </c>
      <c r="J669" s="213"/>
    </row>
    <row r="670" spans="1:12" x14ac:dyDescent="0.25">
      <c r="A670" s="451"/>
      <c r="B670" s="451"/>
      <c r="C670" s="451"/>
      <c r="D670" s="451"/>
      <c r="E670" s="451"/>
      <c r="F670" s="224" t="str">
        <f>+IF(A670="","",VLOOKUP(A670,[46]MATERIALES!$B$7:$D$1222,2,FALSE))</f>
        <v/>
      </c>
      <c r="G670" s="225" t="str">
        <f>+IF(A670="","",VLOOKUP(A670,[46]MATERIALES!$B$7:$E$1222,3,FALSE))</f>
        <v/>
      </c>
      <c r="H670" s="238" t="str">
        <f>IF(A670="","",IFERROR(1/H697,""))</f>
        <v/>
      </c>
      <c r="I670" s="247" t="str">
        <f t="shared" si="73"/>
        <v/>
      </c>
      <c r="J670" s="213"/>
    </row>
    <row r="671" spans="1:12" x14ac:dyDescent="0.25">
      <c r="A671" s="451"/>
      <c r="B671" s="451"/>
      <c r="C671" s="451"/>
      <c r="D671" s="451"/>
      <c r="E671" s="451"/>
      <c r="F671" s="224" t="str">
        <f>+IF(A671="","",VLOOKUP(A671,[46]MATERIALES!$B$7:$D$1222,2,FALSE))</f>
        <v/>
      </c>
      <c r="G671" s="225" t="str">
        <f>+IF(A671="","",VLOOKUP(A671,[46]MATERIALES!$B$7:$E$1222,3,FALSE))</f>
        <v/>
      </c>
      <c r="H671" s="238" t="str">
        <f>IF(A671="","",IFERROR(1/H696,""))</f>
        <v/>
      </c>
      <c r="I671" s="247" t="str">
        <f t="shared" si="73"/>
        <v/>
      </c>
      <c r="J671" s="213"/>
    </row>
    <row r="672" spans="1:12" x14ac:dyDescent="0.25">
      <c r="A672" s="451"/>
      <c r="B672" s="451"/>
      <c r="C672" s="451"/>
      <c r="D672" s="451"/>
      <c r="E672" s="451"/>
      <c r="F672" s="224" t="str">
        <f>+IF(A672="","",VLOOKUP(A672,[46]MATERIALES!$B$7:$D$1222,2,FALSE))</f>
        <v/>
      </c>
      <c r="G672" s="225" t="str">
        <f>+IF(A672="","",VLOOKUP(A672,[46]MATERIALES!$B$7:$E$1222,3,FALSE))</f>
        <v/>
      </c>
      <c r="H672" s="238" t="str">
        <f>IF(A672="","",IFERROR(1/H697,""))</f>
        <v/>
      </c>
      <c r="I672" s="247" t="str">
        <f t="shared" si="73"/>
        <v/>
      </c>
      <c r="J672" s="219"/>
    </row>
    <row r="673" spans="1:10" x14ac:dyDescent="0.25">
      <c r="A673" s="437" t="s">
        <v>100</v>
      </c>
      <c r="B673" s="438"/>
      <c r="C673" s="438"/>
      <c r="D673" s="438"/>
      <c r="E673" s="438"/>
      <c r="F673" s="438"/>
      <c r="G673" s="438"/>
      <c r="H673" s="438"/>
      <c r="I673" s="439"/>
      <c r="J673" s="247">
        <f>+SUM(I668:I672)</f>
        <v>2946.4605389295184</v>
      </c>
    </row>
    <row r="674" spans="1:10" x14ac:dyDescent="0.25">
      <c r="A674" s="442" t="s">
        <v>101</v>
      </c>
      <c r="B674" s="442"/>
      <c r="C674" s="442"/>
      <c r="D674" s="442"/>
      <c r="E674" s="442"/>
      <c r="F674" s="442"/>
      <c r="G674" s="442"/>
      <c r="H674" s="442"/>
      <c r="I674" s="442"/>
      <c r="J674" s="442"/>
    </row>
    <row r="675" spans="1:10" x14ac:dyDescent="0.25">
      <c r="A675" s="452" t="s">
        <v>2</v>
      </c>
      <c r="B675" s="453"/>
      <c r="C675" s="453"/>
      <c r="D675" s="454"/>
      <c r="E675" s="223" t="s">
        <v>3</v>
      </c>
      <c r="F675" s="223" t="s">
        <v>102</v>
      </c>
      <c r="G675" s="223" t="s">
        <v>4</v>
      </c>
      <c r="H675" s="223" t="s">
        <v>103</v>
      </c>
      <c r="I675" s="223" t="s">
        <v>92</v>
      </c>
      <c r="J675" s="213"/>
    </row>
    <row r="676" spans="1:10" ht="13.35" customHeight="1" x14ac:dyDescent="0.25">
      <c r="A676" s="448"/>
      <c r="B676" s="449"/>
      <c r="C676" s="449"/>
      <c r="D676" s="449"/>
      <c r="E676" s="224" t="str">
        <f>+IF(A676="","",VLOOKUP(A676,[46]MATERIALES!$B$7:$D$225,2,FALSE))</f>
        <v/>
      </c>
      <c r="F676" s="225" t="str">
        <f>+IF(A676="","",VLOOKUP(A676,[46]MATERIALES!$B$7:$E$225,3,FALSE))</f>
        <v/>
      </c>
      <c r="G676" s="238"/>
      <c r="H676" s="248"/>
      <c r="I676" s="247" t="str">
        <f>IFERROR(F676*G676*(1+H676),"")</f>
        <v/>
      </c>
      <c r="J676" s="213"/>
    </row>
    <row r="677" spans="1:10" ht="13.35" customHeight="1" x14ac:dyDescent="0.25">
      <c r="A677" s="448"/>
      <c r="B677" s="449"/>
      <c r="C677" s="449"/>
      <c r="D677" s="449"/>
      <c r="E677" s="224" t="str">
        <f>+IF(A677="","",VLOOKUP(A677,[46]MATERIALES!$B$7:$D$225,2,FALSE))</f>
        <v/>
      </c>
      <c r="F677" s="225" t="str">
        <f>+IF(A677="","",VLOOKUP(A677,[46]MATERIALES!$B$7:$E$225,3,FALSE))</f>
        <v/>
      </c>
      <c r="G677" s="238"/>
      <c r="H677" s="248"/>
      <c r="I677" s="247" t="str">
        <f t="shared" ref="I677:I683" si="74">IFERROR(F677*G677*(1+H677),"")</f>
        <v/>
      </c>
      <c r="J677" s="213"/>
    </row>
    <row r="678" spans="1:10" ht="13.35" customHeight="1" x14ac:dyDescent="0.25">
      <c r="A678" s="448"/>
      <c r="B678" s="449"/>
      <c r="C678" s="449"/>
      <c r="D678" s="449"/>
      <c r="E678" s="224" t="str">
        <f>+IF(A678="","",VLOOKUP(A678,[46]MATERIALES!$B$7:$D$225,2,FALSE))</f>
        <v/>
      </c>
      <c r="F678" s="225" t="str">
        <f>+IF(A678="","",VLOOKUP(A678,[46]MATERIALES!$B$7:$E$225,3,FALSE))</f>
        <v/>
      </c>
      <c r="G678" s="238"/>
      <c r="H678" s="248"/>
      <c r="I678" s="247" t="str">
        <f t="shared" si="74"/>
        <v/>
      </c>
      <c r="J678" s="213"/>
    </row>
    <row r="679" spans="1:10" ht="13.35" customHeight="1" x14ac:dyDescent="0.25">
      <c r="A679" s="448"/>
      <c r="B679" s="449"/>
      <c r="C679" s="449"/>
      <c r="D679" s="449"/>
      <c r="E679" s="224" t="str">
        <f>+IF(A679="","",VLOOKUP(A679,[46]MATERIALES!$B$7:$D$225,2,FALSE))</f>
        <v/>
      </c>
      <c r="F679" s="225" t="str">
        <f>+IF(A679="","",VLOOKUP(A679,[46]MATERIALES!$B$7:$E$225,3,FALSE))</f>
        <v/>
      </c>
      <c r="G679" s="226"/>
      <c r="H679" s="248"/>
      <c r="I679" s="247" t="str">
        <f t="shared" si="74"/>
        <v/>
      </c>
      <c r="J679" s="213"/>
    </row>
    <row r="680" spans="1:10" ht="13.35" customHeight="1" x14ac:dyDescent="0.25">
      <c r="A680" s="448"/>
      <c r="B680" s="449"/>
      <c r="C680" s="449"/>
      <c r="D680" s="449"/>
      <c r="E680" s="224" t="str">
        <f>+IF(A680="","",VLOOKUP(A680,[46]MATERIALES!$B$7:$D$225,2,FALSE))</f>
        <v/>
      </c>
      <c r="F680" s="225" t="str">
        <f>+IF(A680="","",VLOOKUP(A680,[46]MATERIALES!$B$7:$E$225,3,FALSE))</f>
        <v/>
      </c>
      <c r="G680" s="238"/>
      <c r="H680" s="248"/>
      <c r="I680" s="247" t="str">
        <f t="shared" si="74"/>
        <v/>
      </c>
      <c r="J680" s="213"/>
    </row>
    <row r="681" spans="1:10" ht="13.35" customHeight="1" x14ac:dyDescent="0.25">
      <c r="A681" s="448"/>
      <c r="B681" s="449"/>
      <c r="C681" s="449"/>
      <c r="D681" s="449"/>
      <c r="E681" s="224" t="str">
        <f>+IF(A681="","",VLOOKUP(A681,[46]MATERIALES!$B$7:$D$225,2,FALSE))</f>
        <v/>
      </c>
      <c r="F681" s="225" t="str">
        <f>+IF(A681="","",VLOOKUP(A681,[46]MATERIALES!$B$7:$E$225,3,FALSE))</f>
        <v/>
      </c>
      <c r="G681" s="238"/>
      <c r="H681" s="248"/>
      <c r="I681" s="247" t="str">
        <f t="shared" si="74"/>
        <v/>
      </c>
      <c r="J681" s="213"/>
    </row>
    <row r="682" spans="1:10" ht="13.35" customHeight="1" x14ac:dyDescent="0.25">
      <c r="A682" s="448"/>
      <c r="B682" s="449"/>
      <c r="C682" s="449"/>
      <c r="D682" s="449"/>
      <c r="E682" s="224" t="str">
        <f>+IF(A682="","",VLOOKUP(A682,[46]MATERIALES!$B$7:$D$225,2,FALSE))</f>
        <v/>
      </c>
      <c r="F682" s="225" t="str">
        <f>+IF(A682="","",VLOOKUP(A682,[46]MATERIALES!$B$7:$E$225,3,FALSE))</f>
        <v/>
      </c>
      <c r="G682" s="226"/>
      <c r="H682" s="248"/>
      <c r="I682" s="247" t="str">
        <f t="shared" si="74"/>
        <v/>
      </c>
      <c r="J682" s="213"/>
    </row>
    <row r="683" spans="1:10" x14ac:dyDescent="0.25">
      <c r="A683" s="448"/>
      <c r="B683" s="449"/>
      <c r="C683" s="449"/>
      <c r="D683" s="450"/>
      <c r="E683" s="224" t="str">
        <f>+IF(A683="","",VLOOKUP(A683,[46]MATERIALES!$B$7:$D$225,2,FALSE))</f>
        <v/>
      </c>
      <c r="F683" s="225" t="str">
        <f>+IF(A683="","",VLOOKUP(A683,[46]MATERIALES!$B$7:$E$225,3,FALSE))</f>
        <v/>
      </c>
      <c r="G683" s="226"/>
      <c r="H683" s="248"/>
      <c r="I683" s="247" t="str">
        <f t="shared" si="74"/>
        <v/>
      </c>
      <c r="J683" s="213"/>
    </row>
    <row r="684" spans="1:10" x14ac:dyDescent="0.25">
      <c r="A684" s="444"/>
      <c r="B684" s="445"/>
      <c r="C684" s="445"/>
      <c r="D684" s="445"/>
      <c r="E684" s="224"/>
      <c r="F684" s="225"/>
      <c r="G684" s="226"/>
      <c r="H684" s="248"/>
      <c r="I684" s="247"/>
      <c r="J684" s="213"/>
    </row>
    <row r="685" spans="1:10" x14ac:dyDescent="0.25">
      <c r="A685" s="444"/>
      <c r="B685" s="445"/>
      <c r="C685" s="445"/>
      <c r="D685" s="445"/>
      <c r="E685" s="213"/>
      <c r="F685" s="214"/>
      <c r="G685" s="218"/>
      <c r="H685" s="248"/>
      <c r="I685" s="247">
        <f>IFERROR(F685*G685*(1+H685),"")</f>
        <v>0</v>
      </c>
      <c r="J685" s="213"/>
    </row>
    <row r="686" spans="1:10" x14ac:dyDescent="0.25">
      <c r="A686" s="437" t="s">
        <v>100</v>
      </c>
      <c r="B686" s="438"/>
      <c r="C686" s="438"/>
      <c r="D686" s="438"/>
      <c r="E686" s="438"/>
      <c r="F686" s="438"/>
      <c r="G686" s="438"/>
      <c r="H686" s="438"/>
      <c r="I686" s="439"/>
      <c r="J686" s="247">
        <f>SUM(I676:I685)</f>
        <v>0</v>
      </c>
    </row>
    <row r="687" spans="1:10" x14ac:dyDescent="0.25">
      <c r="A687" s="442" t="s">
        <v>106</v>
      </c>
      <c r="B687" s="442"/>
      <c r="C687" s="442"/>
      <c r="D687" s="442"/>
      <c r="E687" s="442"/>
      <c r="F687" s="442"/>
      <c r="G687" s="442"/>
      <c r="H687" s="442"/>
      <c r="I687" s="442"/>
      <c r="J687" s="442"/>
    </row>
    <row r="688" spans="1:10" ht="22.5" x14ac:dyDescent="0.25">
      <c r="A688" s="443" t="s">
        <v>107</v>
      </c>
      <c r="B688" s="443"/>
      <c r="C688" s="443"/>
      <c r="D688" s="443"/>
      <c r="E688" s="223" t="s">
        <v>108</v>
      </c>
      <c r="F688" s="230" t="s">
        <v>109</v>
      </c>
      <c r="G688" s="223" t="s">
        <v>110</v>
      </c>
      <c r="H688" s="223" t="s">
        <v>111</v>
      </c>
      <c r="I688" s="223" t="s">
        <v>92</v>
      </c>
      <c r="J688" s="213"/>
    </row>
    <row r="689" spans="1:12" ht="22.7" customHeight="1" x14ac:dyDescent="0.25">
      <c r="A689" s="447" t="s">
        <v>118</v>
      </c>
      <c r="B689" s="447"/>
      <c r="C689" s="447"/>
      <c r="D689" s="447"/>
      <c r="E689" s="216" t="str">
        <f>+IF(A689="","",VLOOKUP(A689,[46]MATERIALES!$B$7:$E$1222,2,FALSE))</f>
        <v>M3</v>
      </c>
      <c r="F689" s="224">
        <v>1.3</v>
      </c>
      <c r="G689" s="231">
        <f>+IF(A689="","",VLOOKUP(A689,[46]MATERIALES!$B$7:$E$1222,4,FALSE))</f>
        <v>5</v>
      </c>
      <c r="H689" s="216">
        <f>+IF(A689="","",VLOOKUP(A689,[46]MATERIALES!$B$7:$E$1222,3,FALSE))</f>
        <v>3000</v>
      </c>
      <c r="I689" s="247">
        <f>IFERROR(G689*H689*F689,"")</f>
        <v>19500</v>
      </c>
      <c r="J689" s="213"/>
    </row>
    <row r="690" spans="1:12" x14ac:dyDescent="0.25">
      <c r="A690" s="447"/>
      <c r="B690" s="447"/>
      <c r="C690" s="447"/>
      <c r="D690" s="447"/>
      <c r="E690" s="216" t="str">
        <f>+IF(A690="","",VLOOKUP(A690,[46]MATERIALES!$B$7:$E$1222,2,FALSE))</f>
        <v/>
      </c>
      <c r="F690" s="224"/>
      <c r="G690" s="231" t="str">
        <f>+IF(A690="","",VLOOKUP(A690,[46]MATERIALES!$B$7:$E$1222,4,FALSE))</f>
        <v/>
      </c>
      <c r="H690" s="216" t="str">
        <f>+IF(A690="","",VLOOKUP(A690,[46]MATERIALES!$B$7:$E$1222,3,FALSE))</f>
        <v/>
      </c>
      <c r="I690" s="247" t="str">
        <f>IFERROR(G690*H690*F690,"")</f>
        <v/>
      </c>
      <c r="J690" s="213"/>
    </row>
    <row r="691" spans="1:12" x14ac:dyDescent="0.25">
      <c r="A691" s="447"/>
      <c r="B691" s="447"/>
      <c r="C691" s="447"/>
      <c r="D691" s="447"/>
      <c r="E691" s="213"/>
      <c r="F691" s="214"/>
      <c r="G691" s="233"/>
      <c r="H691" s="216"/>
      <c r="I691" s="219"/>
      <c r="J691" s="213"/>
    </row>
    <row r="692" spans="1:12" x14ac:dyDescent="0.25">
      <c r="A692" s="447"/>
      <c r="B692" s="447"/>
      <c r="C692" s="447"/>
      <c r="D692" s="447"/>
      <c r="E692" s="213"/>
      <c r="F692" s="213"/>
      <c r="G692" s="213"/>
      <c r="H692" s="211"/>
      <c r="I692" s="213"/>
      <c r="J692" s="213"/>
    </row>
    <row r="693" spans="1:12" x14ac:dyDescent="0.25">
      <c r="A693" s="437" t="s">
        <v>100</v>
      </c>
      <c r="B693" s="438"/>
      <c r="C693" s="438"/>
      <c r="D693" s="438"/>
      <c r="E693" s="438"/>
      <c r="F693" s="438"/>
      <c r="G693" s="438"/>
      <c r="H693" s="438"/>
      <c r="I693" s="439"/>
      <c r="J693" s="247">
        <f>SUM(I689:I692)</f>
        <v>19500</v>
      </c>
    </row>
    <row r="694" spans="1:12" x14ac:dyDescent="0.25">
      <c r="A694" s="442" t="s">
        <v>112</v>
      </c>
      <c r="B694" s="442"/>
      <c r="C694" s="442"/>
      <c r="D694" s="442"/>
      <c r="E694" s="442"/>
      <c r="F694" s="442"/>
      <c r="G694" s="442"/>
      <c r="H694" s="442"/>
      <c r="I694" s="442"/>
      <c r="J694" s="442"/>
    </row>
    <row r="695" spans="1:12" x14ac:dyDescent="0.25">
      <c r="A695" s="443" t="s">
        <v>113</v>
      </c>
      <c r="B695" s="443"/>
      <c r="C695" s="443"/>
      <c r="D695" s="443"/>
      <c r="E695" s="223" t="s">
        <v>114</v>
      </c>
      <c r="F695" s="223" t="s">
        <v>115</v>
      </c>
      <c r="G695" s="234" t="s">
        <v>116</v>
      </c>
      <c r="H695" s="223" t="s">
        <v>91</v>
      </c>
      <c r="I695" s="223" t="s">
        <v>92</v>
      </c>
      <c r="J695" s="213"/>
    </row>
    <row r="696" spans="1:12" x14ac:dyDescent="0.25">
      <c r="A696" s="444" t="s">
        <v>97</v>
      </c>
      <c r="B696" s="445"/>
      <c r="C696" s="446"/>
      <c r="D696" s="211">
        <v>1</v>
      </c>
      <c r="E696" s="251">
        <f>+IF(D696="","",VLOOKUP(A696,$L$4:$O$10,3,FALSE))</f>
        <v>101567</v>
      </c>
      <c r="F696" s="252">
        <f>+IF(D696="","",(VLOOKUP(A696,$L$4:$O$10,4,FALSE))+1)</f>
        <v>1.6519796512835072</v>
      </c>
      <c r="G696" s="219">
        <f>+IFERROR(F696*E696*D696,"")</f>
        <v>167786.61724191197</v>
      </c>
      <c r="H696" s="216">
        <v>48</v>
      </c>
      <c r="I696" s="247">
        <f>IFERROR(G696/H696,"")</f>
        <v>3495.5545258731659</v>
      </c>
      <c r="J696" s="213"/>
    </row>
    <row r="697" spans="1:12" ht="13.35" customHeight="1" x14ac:dyDescent="0.25">
      <c r="A697" s="444" t="s">
        <v>93</v>
      </c>
      <c r="B697" s="445"/>
      <c r="C697" s="446"/>
      <c r="D697" s="211">
        <v>2</v>
      </c>
      <c r="E697" s="251">
        <f>+IF(D697="","",VLOOKUP(A697,$L$4:$O$10,3,FALSE))</f>
        <v>77842</v>
      </c>
      <c r="F697" s="252">
        <f>+IF(D697="","",(VLOOKUP(A697,$L$4:$O$10,4,FALSE))+1)</f>
        <v>1.6752877632282406</v>
      </c>
      <c r="G697" s="219">
        <f>+IFERROR(F697*E697*D697,"")</f>
        <v>260815.50013042541</v>
      </c>
      <c r="H697" s="216">
        <f>+H696</f>
        <v>48</v>
      </c>
      <c r="I697" s="247">
        <f t="shared" ref="I697:I698" si="75">IFERROR(G697/H697,"")</f>
        <v>5433.6562527171964</v>
      </c>
      <c r="J697" s="213"/>
    </row>
    <row r="698" spans="1:12" ht="13.35" customHeight="1" x14ac:dyDescent="0.25">
      <c r="A698" s="444"/>
      <c r="B698" s="445"/>
      <c r="C698" s="446"/>
      <c r="D698" s="211"/>
      <c r="E698" s="251" t="str">
        <f>+IF(D698="","",VLOOKUP(A698,$L$4:$O$10,3,FALSE))</f>
        <v/>
      </c>
      <c r="F698" s="252" t="str">
        <f>+IF(D698="","",(VLOOKUP(A698,$L$4:$O$10,4,FALSE))+1)</f>
        <v/>
      </c>
      <c r="G698" s="219" t="str">
        <f>+IFERROR(F698*E698*D698,"")</f>
        <v/>
      </c>
      <c r="H698" s="216" t="str">
        <f>+IF(D698="","",IFERROR(H697,""))</f>
        <v/>
      </c>
      <c r="I698" s="247" t="str">
        <f t="shared" si="75"/>
        <v/>
      </c>
      <c r="J698" s="213"/>
    </row>
    <row r="699" spans="1:12" x14ac:dyDescent="0.25">
      <c r="A699" s="444"/>
      <c r="B699" s="445"/>
      <c r="C699" s="446"/>
      <c r="D699" s="213"/>
      <c r="E699" s="213"/>
      <c r="F699" s="213"/>
      <c r="G699" s="213"/>
      <c r="H699" s="211"/>
      <c r="I699" s="247"/>
      <c r="J699" s="213"/>
    </row>
    <row r="700" spans="1:12" ht="14.45" customHeight="1" x14ac:dyDescent="0.25">
      <c r="A700" s="437" t="s">
        <v>100</v>
      </c>
      <c r="B700" s="438"/>
      <c r="C700" s="438"/>
      <c r="D700" s="438"/>
      <c r="E700" s="438"/>
      <c r="F700" s="438"/>
      <c r="G700" s="438"/>
      <c r="H700" s="438"/>
      <c r="I700" s="439"/>
      <c r="J700" s="247">
        <f>SUM(I696:I699)</f>
        <v>8929.2107785903627</v>
      </c>
    </row>
    <row r="701" spans="1:12" ht="13.35" customHeight="1" x14ac:dyDescent="0.25">
      <c r="A701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701" s="462"/>
      <c r="C701" s="462"/>
      <c r="D701" s="462"/>
      <c r="E701" s="462"/>
      <c r="F701" s="462"/>
      <c r="G701" s="462"/>
      <c r="H701" s="462"/>
      <c r="I701" s="462"/>
      <c r="J701" s="462"/>
    </row>
    <row r="702" spans="1:12" ht="31.9" customHeight="1" x14ac:dyDescent="0.25">
      <c r="A702" s="463"/>
      <c r="B702" s="463"/>
      <c r="C702" s="463"/>
      <c r="D702" s="463"/>
      <c r="E702" s="462"/>
      <c r="F702" s="462"/>
      <c r="G702" s="462"/>
      <c r="H702" s="462"/>
      <c r="I702" s="462"/>
      <c r="J702" s="462"/>
    </row>
    <row r="703" spans="1:12" ht="23.1" customHeight="1" x14ac:dyDescent="0.25">
      <c r="A703" s="242" t="s">
        <v>78</v>
      </c>
      <c r="B703" s="468" t="s">
        <v>79</v>
      </c>
      <c r="C703" s="468"/>
      <c r="D703" s="468"/>
      <c r="E703" s="468"/>
      <c r="F703" s="468"/>
      <c r="G703" s="468"/>
      <c r="H703" s="468"/>
      <c r="I703" s="243" t="s">
        <v>80</v>
      </c>
      <c r="J703" s="244" t="s">
        <v>81</v>
      </c>
    </row>
    <row r="704" spans="1:12" ht="21.2" customHeight="1" x14ac:dyDescent="0.25">
      <c r="A704" s="203">
        <v>7.02</v>
      </c>
      <c r="B704" s="469" t="e">
        <f>+VLOOKUP(A704,[46]PTO!$B$4:$D$28,2,FALSE)</f>
        <v>#N/A</v>
      </c>
      <c r="C704" s="470"/>
      <c r="D704" s="470"/>
      <c r="E704" s="470"/>
      <c r="F704" s="470"/>
      <c r="G704" s="470"/>
      <c r="H704" s="471"/>
      <c r="I704" s="204" t="e">
        <f>+VLOOKUP(A704,[46]PTO!$B$4:$D$28,3,FALSE)</f>
        <v>#N/A</v>
      </c>
      <c r="J704" s="245">
        <f>+ROUND(SUM(J712:J735),0)</f>
        <v>9087</v>
      </c>
      <c r="L704" s="246" t="e">
        <f>+VLOOKUP(A704,[46]PTO!$B$5:$E$385,5,FALSE)</f>
        <v>#N/A</v>
      </c>
    </row>
    <row r="705" spans="1:10" x14ac:dyDescent="0.25">
      <c r="A705" s="459" t="s">
        <v>87</v>
      </c>
      <c r="B705" s="459"/>
      <c r="C705" s="459"/>
      <c r="D705" s="459"/>
      <c r="E705" s="459"/>
      <c r="F705" s="459"/>
      <c r="G705" s="459"/>
      <c r="H705" s="459"/>
      <c r="I705" s="442"/>
      <c r="J705" s="442"/>
    </row>
    <row r="706" spans="1:10" x14ac:dyDescent="0.25">
      <c r="A706" s="460" t="s">
        <v>2</v>
      </c>
      <c r="B706" s="460"/>
      <c r="C706" s="460"/>
      <c r="D706" s="460"/>
      <c r="E706" s="460"/>
      <c r="F706" s="223" t="s">
        <v>89</v>
      </c>
      <c r="G706" s="234" t="s">
        <v>90</v>
      </c>
      <c r="H706" s="223" t="s">
        <v>91</v>
      </c>
      <c r="I706" s="223" t="s">
        <v>92</v>
      </c>
      <c r="J706" s="213"/>
    </row>
    <row r="707" spans="1:10" x14ac:dyDescent="0.25">
      <c r="A707" s="451" t="s">
        <v>95</v>
      </c>
      <c r="B707" s="451"/>
      <c r="C707" s="451"/>
      <c r="D707" s="451"/>
      <c r="E707" s="451"/>
      <c r="F707" s="214"/>
      <c r="G707" s="215">
        <v>0.05</v>
      </c>
      <c r="H707" s="216"/>
      <c r="I707" s="247">
        <f>+J734*G707</f>
        <v>212.99597664794621</v>
      </c>
      <c r="J707" s="213"/>
    </row>
    <row r="708" spans="1:10" x14ac:dyDescent="0.25">
      <c r="A708" s="461"/>
      <c r="B708" s="461"/>
      <c r="C708" s="461"/>
      <c r="D708" s="461"/>
      <c r="E708" s="461"/>
      <c r="F708" s="224" t="str">
        <f>+IF(A708="","",VLOOKUP(A708,[46]MATERIALES!$B$7:$D$1222,2,FALSE))</f>
        <v/>
      </c>
      <c r="G708" s="225" t="str">
        <f>+IF(A708="","",VLOOKUP(A708,[46]MATERIALES!$B$7:$E$1222,3,FALSE))</f>
        <v/>
      </c>
      <c r="H708" s="238" t="str">
        <f>IF(A708="","",IFERROR(1/H730,""))</f>
        <v/>
      </c>
      <c r="I708" s="247" t="str">
        <f t="shared" ref="I708:I709" si="76">IFERROR(G708*H708,"")</f>
        <v/>
      </c>
      <c r="J708" s="213"/>
    </row>
    <row r="709" spans="1:10" x14ac:dyDescent="0.25">
      <c r="A709" s="451"/>
      <c r="B709" s="451"/>
      <c r="C709" s="451"/>
      <c r="D709" s="451"/>
      <c r="E709" s="451"/>
      <c r="F709" s="224" t="str">
        <f>+IF(A709="","",VLOOKUP(A709,[46]MATERIALES!$B$7:$D$1222,2,FALSE))</f>
        <v/>
      </c>
      <c r="G709" s="225" t="str">
        <f>+IF(A709="","",VLOOKUP(A709,[46]MATERIALES!$B$7:$E$1222,3,FALSE))</f>
        <v/>
      </c>
      <c r="H709" s="238" t="str">
        <f>IF(A709="","",IFERROR(1/H731,""))</f>
        <v/>
      </c>
      <c r="I709" s="247" t="str">
        <f t="shared" si="76"/>
        <v/>
      </c>
      <c r="J709" s="213"/>
    </row>
    <row r="710" spans="1:10" x14ac:dyDescent="0.25">
      <c r="A710" s="451"/>
      <c r="B710" s="451"/>
      <c r="C710" s="451"/>
      <c r="D710" s="451"/>
      <c r="E710" s="451"/>
      <c r="F710" s="214"/>
      <c r="G710" s="218"/>
      <c r="H710" s="238" t="str">
        <f>IF(A710="","",IFERROR(1/H730,""))</f>
        <v/>
      </c>
      <c r="I710" s="247"/>
      <c r="J710" s="213"/>
    </row>
    <row r="711" spans="1:10" x14ac:dyDescent="0.25">
      <c r="A711" s="451"/>
      <c r="B711" s="451"/>
      <c r="C711" s="451"/>
      <c r="D711" s="451"/>
      <c r="E711" s="451"/>
      <c r="F711" s="214"/>
      <c r="G711" s="218"/>
      <c r="H711" s="216"/>
      <c r="I711" s="247"/>
      <c r="J711" s="219"/>
    </row>
    <row r="712" spans="1:10" x14ac:dyDescent="0.25">
      <c r="A712" s="437" t="s">
        <v>100</v>
      </c>
      <c r="B712" s="438"/>
      <c r="C712" s="438"/>
      <c r="D712" s="438"/>
      <c r="E712" s="438"/>
      <c r="F712" s="438"/>
      <c r="G712" s="438"/>
      <c r="H712" s="438"/>
      <c r="I712" s="439"/>
      <c r="J712" s="247">
        <f>+SUM(I707:I711)</f>
        <v>212.99597664794621</v>
      </c>
    </row>
    <row r="713" spans="1:10" x14ac:dyDescent="0.25">
      <c r="A713" s="442" t="s">
        <v>101</v>
      </c>
      <c r="B713" s="442"/>
      <c r="C713" s="442"/>
      <c r="D713" s="442"/>
      <c r="E713" s="442"/>
      <c r="F713" s="442"/>
      <c r="G713" s="442"/>
      <c r="H713" s="442"/>
      <c r="I713" s="442"/>
      <c r="J713" s="442"/>
    </row>
    <row r="714" spans="1:10" x14ac:dyDescent="0.25">
      <c r="A714" s="452" t="s">
        <v>2</v>
      </c>
      <c r="B714" s="453"/>
      <c r="C714" s="453"/>
      <c r="D714" s="454"/>
      <c r="E714" s="223" t="s">
        <v>3</v>
      </c>
      <c r="F714" s="223" t="s">
        <v>102</v>
      </c>
      <c r="G714" s="223" t="s">
        <v>4</v>
      </c>
      <c r="H714" s="223" t="s">
        <v>103</v>
      </c>
      <c r="I714" s="223" t="s">
        <v>92</v>
      </c>
      <c r="J714" s="213"/>
    </row>
    <row r="715" spans="1:10" x14ac:dyDescent="0.25">
      <c r="A715" s="444" t="s">
        <v>121</v>
      </c>
      <c r="B715" s="445"/>
      <c r="C715" s="445"/>
      <c r="D715" s="445"/>
      <c r="E715" s="224" t="str">
        <f>+IF(A715="","",VLOOKUP(A715,[46]MATERIALES!$B$7:$D$225,2,FALSE))</f>
        <v>m2</v>
      </c>
      <c r="F715" s="225">
        <f>+IF(A715="","",VLOOKUP(A715,[46]MATERIALES!$B$7:$E$225,3,FALSE))</f>
        <v>3686</v>
      </c>
      <c r="G715" s="226">
        <v>1</v>
      </c>
      <c r="H715" s="248">
        <v>0.05</v>
      </c>
      <c r="I715" s="249">
        <f t="shared" ref="I715:I717" si="77">IFERROR((ROUND((F715*G715*(1+H715)),0)),"")</f>
        <v>3870</v>
      </c>
      <c r="J715" s="213"/>
    </row>
    <row r="716" spans="1:10" x14ac:dyDescent="0.25">
      <c r="A716" s="444"/>
      <c r="B716" s="445"/>
      <c r="C716" s="445"/>
      <c r="D716" s="445"/>
      <c r="E716" s="224" t="str">
        <f>+IF(A716="","",VLOOKUP(A716,[46]MATERIALES!$B$7:$D$225,2,FALSE))</f>
        <v/>
      </c>
      <c r="F716" s="225" t="str">
        <f>+IF(A716="","",VLOOKUP(A716,[46]MATERIALES!$B$7:$E$225,3,FALSE))</f>
        <v/>
      </c>
      <c r="G716" s="238"/>
      <c r="H716" s="248"/>
      <c r="I716" s="249" t="str">
        <f t="shared" si="77"/>
        <v/>
      </c>
      <c r="J716" s="213"/>
    </row>
    <row r="717" spans="1:10" x14ac:dyDescent="0.25">
      <c r="A717" s="444"/>
      <c r="B717" s="445"/>
      <c r="C717" s="445"/>
      <c r="D717" s="445"/>
      <c r="E717" s="224" t="str">
        <f>+IF(A717="","",VLOOKUP(A717,[46]MATERIALES!$B$7:$D$225,2,FALSE))</f>
        <v/>
      </c>
      <c r="F717" s="225" t="str">
        <f>+IF(A717="","",VLOOKUP(A717,[46]MATERIALES!$B$7:$E$225,3,FALSE))</f>
        <v/>
      </c>
      <c r="G717" s="226"/>
      <c r="H717" s="248"/>
      <c r="I717" s="249" t="str">
        <f t="shared" si="77"/>
        <v/>
      </c>
      <c r="J717" s="213"/>
    </row>
    <row r="718" spans="1:10" x14ac:dyDescent="0.25">
      <c r="A718" s="444"/>
      <c r="B718" s="445"/>
      <c r="C718" s="445"/>
      <c r="D718" s="445"/>
      <c r="E718" s="224" t="str">
        <f>+IF(A718="","",VLOOKUP(A718,[46]MATERIALES!$B$7:$D$225,2,FALSE))</f>
        <v/>
      </c>
      <c r="F718" s="225" t="str">
        <f>+IF(A718="","",VLOOKUP(A718,[46]MATERIALES!$B$7:$E$225,3,FALSE))</f>
        <v/>
      </c>
      <c r="G718" s="226"/>
      <c r="H718" s="248"/>
      <c r="I718" s="247" t="str">
        <f t="shared" ref="I718" si="78">IFERROR(F718*G718*(1+H718),"")</f>
        <v/>
      </c>
      <c r="J718" s="213"/>
    </row>
    <row r="719" spans="1:10" x14ac:dyDescent="0.25">
      <c r="A719" s="444"/>
      <c r="B719" s="445"/>
      <c r="C719" s="445"/>
      <c r="D719" s="445"/>
      <c r="E719" s="224" t="str">
        <f>+IF(A719="","",VLOOKUP(A719,[46]MATERIALES!$B$7:$D$225,2,FALSE))</f>
        <v/>
      </c>
      <c r="F719" s="225" t="str">
        <f>+IF(A719="","",VLOOKUP(A719,[46]MATERIALES!$B$7:$E$225,3,FALSE))</f>
        <v/>
      </c>
      <c r="G719" s="226"/>
      <c r="H719" s="248"/>
      <c r="I719" s="247" t="str">
        <f>IFERROR(F719*G719*(1+H719),"")</f>
        <v/>
      </c>
      <c r="J719" s="213"/>
    </row>
    <row r="720" spans="1:10" x14ac:dyDescent="0.25">
      <c r="A720" s="437" t="s">
        <v>100</v>
      </c>
      <c r="B720" s="438"/>
      <c r="C720" s="438"/>
      <c r="D720" s="438"/>
      <c r="E720" s="438"/>
      <c r="F720" s="438"/>
      <c r="G720" s="438"/>
      <c r="H720" s="438"/>
      <c r="I720" s="439"/>
      <c r="J720" s="247">
        <f>SUM(I715:I719)</f>
        <v>3870</v>
      </c>
    </row>
    <row r="721" spans="1:10" x14ac:dyDescent="0.25">
      <c r="A721" s="442" t="s">
        <v>106</v>
      </c>
      <c r="B721" s="442"/>
      <c r="C721" s="442"/>
      <c r="D721" s="442"/>
      <c r="E721" s="442"/>
      <c r="F721" s="442"/>
      <c r="G721" s="442"/>
      <c r="H721" s="442"/>
      <c r="I721" s="442"/>
      <c r="J721" s="442"/>
    </row>
    <row r="722" spans="1:10" ht="22.5" x14ac:dyDescent="0.25">
      <c r="A722" s="443" t="s">
        <v>107</v>
      </c>
      <c r="B722" s="443"/>
      <c r="C722" s="443"/>
      <c r="D722" s="443"/>
      <c r="E722" s="223" t="s">
        <v>108</v>
      </c>
      <c r="F722" s="230" t="s">
        <v>109</v>
      </c>
      <c r="G722" s="223" t="s">
        <v>110</v>
      </c>
      <c r="H722" s="223" t="s">
        <v>111</v>
      </c>
      <c r="I722" s="223" t="s">
        <v>92</v>
      </c>
      <c r="J722" s="213"/>
    </row>
    <row r="723" spans="1:10" x14ac:dyDescent="0.25">
      <c r="A723" s="447" t="s">
        <v>126</v>
      </c>
      <c r="B723" s="447"/>
      <c r="C723" s="447"/>
      <c r="D723" s="447"/>
      <c r="E723" s="216" t="str">
        <f>+IF(A723="","",VLOOKUP(A723,[46]MATERIALES!$B$7:$E$1222,2,FALSE))</f>
        <v>m3/km</v>
      </c>
      <c r="F723" s="240">
        <v>1E-3</v>
      </c>
      <c r="G723" s="231">
        <f>+IF(A723="","",VLOOKUP(A723,[46]MATERIALES!$B$7:$E$1222,4,FALSE))</f>
        <v>413.59999999999997</v>
      </c>
      <c r="H723" s="216">
        <f>+IF(A723="","",VLOOKUP(A723,[46]MATERIALES!$B$7:$E$1222,3,FALSE))</f>
        <v>1799</v>
      </c>
      <c r="I723" s="247">
        <f>IFERROR(G723*H723*F723,"")</f>
        <v>744.06639999999993</v>
      </c>
      <c r="J723" s="213"/>
    </row>
    <row r="724" spans="1:10" x14ac:dyDescent="0.25">
      <c r="A724" s="447"/>
      <c r="B724" s="447"/>
      <c r="C724" s="447"/>
      <c r="D724" s="447"/>
      <c r="E724" s="216" t="str">
        <f>+IF(A724="","",VLOOKUP(A724,[46]MATERIALES!$B$7:$E$1222,2,FALSE))</f>
        <v/>
      </c>
      <c r="F724" s="224"/>
      <c r="G724" s="231" t="str">
        <f>+IF(A724="","",VLOOKUP(A724,[46]MATERIALES!$B$7:$E$1222,4,FALSE))</f>
        <v/>
      </c>
      <c r="H724" s="216" t="str">
        <f>+IF(A724="","",VLOOKUP(A724,[46]MATERIALES!$B$7:$E$1222,3,FALSE))</f>
        <v/>
      </c>
      <c r="I724" s="247" t="str">
        <f>IFERROR(G724*H724*F724,"")</f>
        <v/>
      </c>
      <c r="J724" s="213"/>
    </row>
    <row r="725" spans="1:10" x14ac:dyDescent="0.25">
      <c r="A725" s="447"/>
      <c r="B725" s="447"/>
      <c r="C725" s="447"/>
      <c r="D725" s="447"/>
      <c r="E725" s="213"/>
      <c r="F725" s="214"/>
      <c r="G725" s="233"/>
      <c r="H725" s="216"/>
      <c r="I725" s="219"/>
      <c r="J725" s="213"/>
    </row>
    <row r="726" spans="1:10" x14ac:dyDescent="0.25">
      <c r="A726" s="447"/>
      <c r="B726" s="447"/>
      <c r="C726" s="447"/>
      <c r="D726" s="447"/>
      <c r="E726" s="213"/>
      <c r="F726" s="213"/>
      <c r="G726" s="213"/>
      <c r="H726" s="211"/>
      <c r="I726" s="213"/>
      <c r="J726" s="213"/>
    </row>
    <row r="727" spans="1:10" x14ac:dyDescent="0.25">
      <c r="A727" s="437" t="s">
        <v>100</v>
      </c>
      <c r="B727" s="438"/>
      <c r="C727" s="438"/>
      <c r="D727" s="438"/>
      <c r="E727" s="438"/>
      <c r="F727" s="438"/>
      <c r="G727" s="438"/>
      <c r="H727" s="438"/>
      <c r="I727" s="439"/>
      <c r="J727" s="247">
        <f>SUM(I723:I726)</f>
        <v>744.06639999999993</v>
      </c>
    </row>
    <row r="728" spans="1:10" x14ac:dyDescent="0.25">
      <c r="A728" s="442" t="s">
        <v>112</v>
      </c>
      <c r="B728" s="442"/>
      <c r="C728" s="442"/>
      <c r="D728" s="442"/>
      <c r="E728" s="442"/>
      <c r="F728" s="442"/>
      <c r="G728" s="442"/>
      <c r="H728" s="442"/>
      <c r="I728" s="442"/>
      <c r="J728" s="442"/>
    </row>
    <row r="729" spans="1:10" x14ac:dyDescent="0.25">
      <c r="A729" s="443" t="s">
        <v>113</v>
      </c>
      <c r="B729" s="443"/>
      <c r="C729" s="443"/>
      <c r="D729" s="443"/>
      <c r="E729" s="223" t="s">
        <v>114</v>
      </c>
      <c r="F729" s="223" t="s">
        <v>115</v>
      </c>
      <c r="G729" s="234" t="s">
        <v>116</v>
      </c>
      <c r="H729" s="223" t="s">
        <v>91</v>
      </c>
      <c r="I729" s="223" t="s">
        <v>92</v>
      </c>
      <c r="J729" s="213"/>
    </row>
    <row r="730" spans="1:10" x14ac:dyDescent="0.25">
      <c r="A730" s="444" t="s">
        <v>97</v>
      </c>
      <c r="B730" s="445"/>
      <c r="C730" s="446"/>
      <c r="D730" s="211">
        <v>1</v>
      </c>
      <c r="E730" s="251">
        <f>+IF(D730="","",VLOOKUP(A730,$L$4:$O$10,3,FALSE))</f>
        <v>101567</v>
      </c>
      <c r="F730" s="252">
        <f>+IF(D730="","",(VLOOKUP(A730,$L$4:$O$10,4,FALSE))+1)</f>
        <v>1.6519796512835072</v>
      </c>
      <c r="G730" s="219">
        <f>+IFERROR(F730*E730*D730,"")</f>
        <v>167786.61724191197</v>
      </c>
      <c r="H730" s="216">
        <v>70</v>
      </c>
      <c r="I730" s="247">
        <f>IFERROR(G730/H730,"")</f>
        <v>2396.9516748844567</v>
      </c>
      <c r="J730" s="213"/>
    </row>
    <row r="731" spans="1:10" ht="13.35" customHeight="1" x14ac:dyDescent="0.25">
      <c r="A731" s="444" t="s">
        <v>93</v>
      </c>
      <c r="B731" s="445"/>
      <c r="C731" s="446"/>
      <c r="D731" s="211">
        <v>1</v>
      </c>
      <c r="E731" s="251">
        <f>+IF(D731="","",VLOOKUP(A731,$L$4:$O$10,3,FALSE))</f>
        <v>77842</v>
      </c>
      <c r="F731" s="252">
        <f>+IF(D731="","",(VLOOKUP(A731,$L$4:$O$10,4,FALSE))+1)</f>
        <v>1.6752877632282406</v>
      </c>
      <c r="G731" s="219">
        <f>+IFERROR(F731*E731*D731,"")</f>
        <v>130407.75006521271</v>
      </c>
      <c r="H731" s="216">
        <f>+H730</f>
        <v>70</v>
      </c>
      <c r="I731" s="247">
        <f t="shared" ref="I731:I732" si="79">IFERROR(G731/H731,"")</f>
        <v>1862.9678580744671</v>
      </c>
      <c r="J731" s="213"/>
    </row>
    <row r="732" spans="1:10" ht="13.35" customHeight="1" x14ac:dyDescent="0.25">
      <c r="A732" s="444"/>
      <c r="B732" s="445"/>
      <c r="C732" s="446"/>
      <c r="D732" s="211"/>
      <c r="E732" s="251" t="str">
        <f>+IF(D732="","",VLOOKUP(A732,$L$4:$O$10,3,FALSE))</f>
        <v/>
      </c>
      <c r="F732" s="252" t="str">
        <f>+IF(D732="","",(VLOOKUP(A732,$L$4:$O$10,4,FALSE))+1)</f>
        <v/>
      </c>
      <c r="G732" s="219" t="str">
        <f>+IFERROR(F732*E732*D732,"")</f>
        <v/>
      </c>
      <c r="H732" s="216"/>
      <c r="I732" s="247" t="str">
        <f t="shared" si="79"/>
        <v/>
      </c>
      <c r="J732" s="213"/>
    </row>
    <row r="733" spans="1:10" x14ac:dyDescent="0.25">
      <c r="A733" s="444"/>
      <c r="B733" s="445"/>
      <c r="C733" s="446"/>
      <c r="D733" s="213"/>
      <c r="E733" s="213"/>
      <c r="F733" s="213"/>
      <c r="G733" s="213"/>
      <c r="H733" s="211"/>
      <c r="I733" s="247"/>
      <c r="J733" s="213"/>
    </row>
    <row r="734" spans="1:10" ht="14.45" customHeight="1" x14ac:dyDescent="0.25">
      <c r="A734" s="437" t="s">
        <v>100</v>
      </c>
      <c r="B734" s="438"/>
      <c r="C734" s="438"/>
      <c r="D734" s="438"/>
      <c r="E734" s="438"/>
      <c r="F734" s="438"/>
      <c r="G734" s="438"/>
      <c r="H734" s="438"/>
      <c r="I734" s="439"/>
      <c r="J734" s="247">
        <f>SUM(I730:I733)</f>
        <v>4259.9195329589238</v>
      </c>
    </row>
    <row r="735" spans="1:10" ht="13.35" customHeight="1" x14ac:dyDescent="0.25">
      <c r="A735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735" s="462"/>
      <c r="C735" s="462"/>
      <c r="D735" s="462"/>
      <c r="E735" s="462"/>
      <c r="F735" s="462"/>
      <c r="G735" s="462"/>
      <c r="H735" s="462"/>
      <c r="I735" s="462"/>
      <c r="J735" s="462"/>
    </row>
    <row r="736" spans="1:10" ht="34.700000000000003" customHeight="1" x14ac:dyDescent="0.25">
      <c r="A736" s="463"/>
      <c r="B736" s="463"/>
      <c r="C736" s="463"/>
      <c r="D736" s="463"/>
      <c r="E736" s="462"/>
      <c r="F736" s="462"/>
      <c r="G736" s="462"/>
      <c r="H736" s="462"/>
      <c r="I736" s="462"/>
      <c r="J736" s="462"/>
    </row>
    <row r="737" spans="1:12" ht="22.5" customHeight="1" x14ac:dyDescent="0.25">
      <c r="A737" s="242" t="s">
        <v>78</v>
      </c>
      <c r="B737" s="468" t="s">
        <v>79</v>
      </c>
      <c r="C737" s="468"/>
      <c r="D737" s="468"/>
      <c r="E737" s="468"/>
      <c r="F737" s="468"/>
      <c r="G737" s="468"/>
      <c r="H737" s="468"/>
      <c r="I737" s="243" t="s">
        <v>80</v>
      </c>
      <c r="J737" s="244" t="s">
        <v>81</v>
      </c>
    </row>
    <row r="738" spans="1:12" ht="27.95" customHeight="1" x14ac:dyDescent="0.25">
      <c r="A738" s="203">
        <v>7.03</v>
      </c>
      <c r="B738" s="469" t="e">
        <f>+VLOOKUP(A738,[46]PTO!$B$4:$D$28,2,FALSE)</f>
        <v>#N/A</v>
      </c>
      <c r="C738" s="470"/>
      <c r="D738" s="470"/>
      <c r="E738" s="470"/>
      <c r="F738" s="470"/>
      <c r="G738" s="470"/>
      <c r="H738" s="471"/>
      <c r="I738" s="204" t="e">
        <f>+VLOOKUP(A738,[46]PTO!$B$4:$D$28,3,FALSE)</f>
        <v>#N/A</v>
      </c>
      <c r="J738" s="245">
        <f>+ROUND(SUM(J746:J768),0)</f>
        <v>11409</v>
      </c>
      <c r="L738" s="246" t="e">
        <f>+VLOOKUP(A738,[46]PTO!$B$5:$E$385,5,FALSE)</f>
        <v>#N/A</v>
      </c>
    </row>
    <row r="739" spans="1:12" x14ac:dyDescent="0.25">
      <c r="A739" s="459" t="s">
        <v>87</v>
      </c>
      <c r="B739" s="459"/>
      <c r="C739" s="459"/>
      <c r="D739" s="459"/>
      <c r="E739" s="459"/>
      <c r="F739" s="459"/>
      <c r="G739" s="459"/>
      <c r="H739" s="459"/>
      <c r="I739" s="442"/>
      <c r="J739" s="442"/>
    </row>
    <row r="740" spans="1:12" x14ac:dyDescent="0.25">
      <c r="A740" s="460" t="s">
        <v>2</v>
      </c>
      <c r="B740" s="460"/>
      <c r="C740" s="460"/>
      <c r="D740" s="460"/>
      <c r="E740" s="460"/>
      <c r="F740" s="223" t="s">
        <v>89</v>
      </c>
      <c r="G740" s="234" t="s">
        <v>90</v>
      </c>
      <c r="H740" s="223" t="s">
        <v>91</v>
      </c>
      <c r="I740" s="223" t="s">
        <v>92</v>
      </c>
      <c r="J740" s="213"/>
    </row>
    <row r="741" spans="1:12" x14ac:dyDescent="0.25">
      <c r="A741" s="451" t="s">
        <v>95</v>
      </c>
      <c r="B741" s="451"/>
      <c r="C741" s="451"/>
      <c r="D741" s="451"/>
      <c r="E741" s="451"/>
      <c r="F741" s="214"/>
      <c r="G741" s="215">
        <v>0.05</v>
      </c>
      <c r="H741" s="216"/>
      <c r="I741" s="247">
        <f>+J768*G741</f>
        <v>124.24765304463529</v>
      </c>
      <c r="J741" s="213"/>
    </row>
    <row r="742" spans="1:12" x14ac:dyDescent="0.25">
      <c r="A742" s="461" t="s">
        <v>120</v>
      </c>
      <c r="B742" s="461"/>
      <c r="C742" s="461"/>
      <c r="D742" s="461"/>
      <c r="E742" s="461"/>
      <c r="F742" s="224" t="str">
        <f>+IF(A742="","",VLOOKUP(A742,[46]MATERIALES!$B$7:$D$1222,2,FALSE))</f>
        <v>DIA</v>
      </c>
      <c r="G742" s="225">
        <f>+IF(A742="","",VLOOKUP(A742,[46]MATERIALES!$B$7:$E$1222,3,FALSE))</f>
        <v>120000</v>
      </c>
      <c r="H742" s="238">
        <f>IF(A742="","",IFERROR(1/H764,""))</f>
        <v>8.3333333333333332E-3</v>
      </c>
      <c r="I742" s="247">
        <f t="shared" ref="I742:I743" si="80">IFERROR(G742*H742,"")</f>
        <v>1000</v>
      </c>
      <c r="J742" s="213"/>
    </row>
    <row r="743" spans="1:12" x14ac:dyDescent="0.25">
      <c r="A743" s="451"/>
      <c r="B743" s="451"/>
      <c r="C743" s="451"/>
      <c r="D743" s="451"/>
      <c r="E743" s="451"/>
      <c r="F743" s="224" t="str">
        <f>+IF(A743="","",VLOOKUP(A743,[46]MATERIALES!$B$7:$D$1222,2,FALSE))</f>
        <v/>
      </c>
      <c r="G743" s="225" t="str">
        <f>+IF(A743="","",VLOOKUP(A743,[46]MATERIALES!$B$7:$E$1222,3,FALSE))</f>
        <v/>
      </c>
      <c r="H743" s="238" t="str">
        <f>IF(A743="","",IFERROR(1/H765,""))</f>
        <v/>
      </c>
      <c r="I743" s="247" t="str">
        <f t="shared" si="80"/>
        <v/>
      </c>
      <c r="J743" s="213"/>
    </row>
    <row r="744" spans="1:12" x14ac:dyDescent="0.25">
      <c r="A744" s="451"/>
      <c r="B744" s="451"/>
      <c r="C744" s="451"/>
      <c r="D744" s="451"/>
      <c r="E744" s="451"/>
      <c r="F744" s="214"/>
      <c r="G744" s="218"/>
      <c r="H744" s="238" t="str">
        <f>IF(A744="","",IFERROR(1/H764,""))</f>
        <v/>
      </c>
      <c r="I744" s="247"/>
      <c r="J744" s="213"/>
    </row>
    <row r="745" spans="1:12" x14ac:dyDescent="0.25">
      <c r="A745" s="451"/>
      <c r="B745" s="451"/>
      <c r="C745" s="451"/>
      <c r="D745" s="451"/>
      <c r="E745" s="451"/>
      <c r="F745" s="214"/>
      <c r="G745" s="218"/>
      <c r="H745" s="216"/>
      <c r="I745" s="247"/>
      <c r="J745" s="219"/>
    </row>
    <row r="746" spans="1:12" x14ac:dyDescent="0.25">
      <c r="A746" s="437" t="s">
        <v>100</v>
      </c>
      <c r="B746" s="438"/>
      <c r="C746" s="438"/>
      <c r="D746" s="438"/>
      <c r="E746" s="438"/>
      <c r="F746" s="438"/>
      <c r="G746" s="438"/>
      <c r="H746" s="438"/>
      <c r="I746" s="439"/>
      <c r="J746" s="247">
        <f>+SUM(I741:I745)</f>
        <v>1124.2476530446352</v>
      </c>
    </row>
    <row r="747" spans="1:12" x14ac:dyDescent="0.25">
      <c r="A747" s="442" t="s">
        <v>101</v>
      </c>
      <c r="B747" s="442"/>
      <c r="C747" s="442"/>
      <c r="D747" s="442"/>
      <c r="E747" s="442"/>
      <c r="F747" s="442"/>
      <c r="G747" s="442"/>
      <c r="H747" s="442"/>
      <c r="I747" s="442"/>
      <c r="J747" s="442"/>
    </row>
    <row r="748" spans="1:12" x14ac:dyDescent="0.25">
      <c r="A748" s="452" t="s">
        <v>2</v>
      </c>
      <c r="B748" s="453"/>
      <c r="C748" s="453"/>
      <c r="D748" s="454"/>
      <c r="E748" s="223" t="s">
        <v>3</v>
      </c>
      <c r="F748" s="223" t="s">
        <v>102</v>
      </c>
      <c r="G748" s="223" t="s">
        <v>4</v>
      </c>
      <c r="H748" s="223" t="s">
        <v>103</v>
      </c>
      <c r="I748" s="223" t="s">
        <v>92</v>
      </c>
      <c r="J748" s="213"/>
    </row>
    <row r="749" spans="1:12" x14ac:dyDescent="0.25">
      <c r="A749" s="444" t="s">
        <v>119</v>
      </c>
      <c r="B749" s="445"/>
      <c r="C749" s="445"/>
      <c r="D749" s="445"/>
      <c r="E749" s="224" t="str">
        <f>+IF(A749="","",VLOOKUP(A749,[46]MATERIALES!$B$7:$D$225,2,FALSE))</f>
        <v>m3</v>
      </c>
      <c r="F749" s="225">
        <f>+IF(A749="","",VLOOKUP(A749,[46]MATERIALES!$B$7:$E$225,3,FALSE))</f>
        <v>60000</v>
      </c>
      <c r="G749" s="226">
        <v>0.1</v>
      </c>
      <c r="H749" s="248">
        <v>0.3</v>
      </c>
      <c r="I749" s="249">
        <f t="shared" ref="I749:I751" si="81">IFERROR((ROUND((F749*G749*(1+H749)),0)),"")</f>
        <v>7800</v>
      </c>
      <c r="J749" s="213"/>
    </row>
    <row r="750" spans="1:12" x14ac:dyDescent="0.25">
      <c r="A750" s="444"/>
      <c r="B750" s="445"/>
      <c r="C750" s="445"/>
      <c r="D750" s="445"/>
      <c r="E750" s="224" t="str">
        <f>+IF(A750="","",VLOOKUP(A750,[46]MATERIALES!$B$7:$D$225,2,FALSE))</f>
        <v/>
      </c>
      <c r="F750" s="225" t="str">
        <f>+IF(A750="","",VLOOKUP(A750,[46]MATERIALES!$B$7:$E$225,3,FALSE))</f>
        <v/>
      </c>
      <c r="G750" s="238"/>
      <c r="H750" s="248"/>
      <c r="I750" s="249" t="str">
        <f t="shared" si="81"/>
        <v/>
      </c>
      <c r="J750" s="213"/>
    </row>
    <row r="751" spans="1:12" x14ac:dyDescent="0.25">
      <c r="A751" s="444"/>
      <c r="B751" s="445"/>
      <c r="C751" s="445"/>
      <c r="D751" s="445"/>
      <c r="E751" s="224" t="str">
        <f>+IF(A751="","",VLOOKUP(A751,[46]MATERIALES!$B$7:$D$225,2,FALSE))</f>
        <v/>
      </c>
      <c r="F751" s="225" t="str">
        <f>+IF(A751="","",VLOOKUP(A751,[46]MATERIALES!$B$7:$E$225,3,FALSE))</f>
        <v/>
      </c>
      <c r="G751" s="226"/>
      <c r="H751" s="248"/>
      <c r="I751" s="249" t="str">
        <f t="shared" si="81"/>
        <v/>
      </c>
      <c r="J751" s="213"/>
    </row>
    <row r="752" spans="1:12" x14ac:dyDescent="0.25">
      <c r="A752" s="444"/>
      <c r="B752" s="445"/>
      <c r="C752" s="445"/>
      <c r="D752" s="445"/>
      <c r="E752" s="224" t="str">
        <f>+IF(A752="","",VLOOKUP(A752,[46]MATERIALES!$B$7:$D$225,2,FALSE))</f>
        <v/>
      </c>
      <c r="F752" s="225" t="str">
        <f>+IF(A752="","",VLOOKUP(A752,[46]MATERIALES!$B$7:$E$225,3,FALSE))</f>
        <v/>
      </c>
      <c r="G752" s="226"/>
      <c r="H752" s="248"/>
      <c r="I752" s="247" t="str">
        <f t="shared" ref="I752" si="82">IFERROR(F752*G752*(1+H752),"")</f>
        <v/>
      </c>
      <c r="J752" s="213"/>
    </row>
    <row r="753" spans="1:10" x14ac:dyDescent="0.25">
      <c r="A753" s="444"/>
      <c r="B753" s="445"/>
      <c r="C753" s="445"/>
      <c r="D753" s="445"/>
      <c r="E753" s="224" t="str">
        <f>+IF(A753="","",VLOOKUP(A753,[46]MATERIALES!$B$7:$D$225,2,FALSE))</f>
        <v/>
      </c>
      <c r="F753" s="225" t="str">
        <f>+IF(A753="","",VLOOKUP(A753,[46]MATERIALES!$B$7:$E$225,3,FALSE))</f>
        <v/>
      </c>
      <c r="G753" s="226"/>
      <c r="H753" s="248"/>
      <c r="I753" s="247" t="str">
        <f>IFERROR(F753*G753*(1+H753),"")</f>
        <v/>
      </c>
      <c r="J753" s="213"/>
    </row>
    <row r="754" spans="1:10" x14ac:dyDescent="0.25">
      <c r="A754" s="437" t="s">
        <v>100</v>
      </c>
      <c r="B754" s="438"/>
      <c r="C754" s="438"/>
      <c r="D754" s="438"/>
      <c r="E754" s="438"/>
      <c r="F754" s="438"/>
      <c r="G754" s="438"/>
      <c r="H754" s="438"/>
      <c r="I754" s="439"/>
      <c r="J754" s="247">
        <f>SUM(I749:I753)</f>
        <v>7800</v>
      </c>
    </row>
    <row r="755" spans="1:10" x14ac:dyDescent="0.25">
      <c r="A755" s="442" t="s">
        <v>106</v>
      </c>
      <c r="B755" s="442"/>
      <c r="C755" s="442"/>
      <c r="D755" s="442"/>
      <c r="E755" s="442"/>
      <c r="F755" s="442"/>
      <c r="G755" s="442"/>
      <c r="H755" s="442"/>
      <c r="I755" s="442"/>
      <c r="J755" s="442"/>
    </row>
    <row r="756" spans="1:10" ht="22.5" x14ac:dyDescent="0.25">
      <c r="A756" s="443" t="s">
        <v>107</v>
      </c>
      <c r="B756" s="443"/>
      <c r="C756" s="443"/>
      <c r="D756" s="443"/>
      <c r="E756" s="223" t="s">
        <v>108</v>
      </c>
      <c r="F756" s="230" t="s">
        <v>109</v>
      </c>
      <c r="G756" s="223" t="s">
        <v>110</v>
      </c>
      <c r="H756" s="223" t="s">
        <v>111</v>
      </c>
      <c r="I756" s="223" t="s">
        <v>92</v>
      </c>
      <c r="J756" s="213"/>
    </row>
    <row r="757" spans="1:10" x14ac:dyDescent="0.25">
      <c r="A757" s="447"/>
      <c r="B757" s="447"/>
      <c r="C757" s="447"/>
      <c r="D757" s="447"/>
      <c r="E757" s="216" t="str">
        <f>+IF(A757="","",VLOOKUP(A757,[46]MATERIALES!$B$7:$E$1222,2,FALSE))</f>
        <v/>
      </c>
      <c r="F757" s="224"/>
      <c r="G757" s="231" t="str">
        <f>+IF(A757="","",VLOOKUP(A757,[46]MATERIALES!$B$7:$E$1222,4,FALSE))</f>
        <v/>
      </c>
      <c r="H757" s="216" t="str">
        <f>+IF(A757="","",VLOOKUP(A757,[46]MATERIALES!$B$7:$E$1222,3,FALSE))</f>
        <v/>
      </c>
      <c r="I757" s="247" t="str">
        <f>IFERROR(G757*H757*F757,"")</f>
        <v/>
      </c>
      <c r="J757" s="213"/>
    </row>
    <row r="758" spans="1:10" x14ac:dyDescent="0.25">
      <c r="A758" s="447"/>
      <c r="B758" s="447"/>
      <c r="C758" s="447"/>
      <c r="D758" s="447"/>
      <c r="E758" s="216" t="str">
        <f>+IF(A758="","",VLOOKUP(A758,[46]MATERIALES!$B$7:$E$1222,2,FALSE))</f>
        <v/>
      </c>
      <c r="F758" s="224"/>
      <c r="G758" s="231" t="str">
        <f>+IF(A758="","",VLOOKUP(A758,[46]MATERIALES!$B$7:$E$1222,4,FALSE))</f>
        <v/>
      </c>
      <c r="H758" s="216" t="str">
        <f>+IF(A758="","",VLOOKUP(A758,[46]MATERIALES!$B$7:$E$1222,3,FALSE))</f>
        <v/>
      </c>
      <c r="I758" s="247" t="str">
        <f>IFERROR(G758*H758*F758,"")</f>
        <v/>
      </c>
      <c r="J758" s="213"/>
    </row>
    <row r="759" spans="1:10" x14ac:dyDescent="0.25">
      <c r="A759" s="447"/>
      <c r="B759" s="447"/>
      <c r="C759" s="447"/>
      <c r="D759" s="447"/>
      <c r="E759" s="213"/>
      <c r="F759" s="214"/>
      <c r="G759" s="233"/>
      <c r="H759" s="216"/>
      <c r="I759" s="219"/>
      <c r="J759" s="213"/>
    </row>
    <row r="760" spans="1:10" x14ac:dyDescent="0.25">
      <c r="A760" s="447"/>
      <c r="B760" s="447"/>
      <c r="C760" s="447"/>
      <c r="D760" s="447"/>
      <c r="E760" s="213"/>
      <c r="F760" s="213"/>
      <c r="G760" s="213"/>
      <c r="H760" s="211"/>
      <c r="I760" s="213"/>
      <c r="J760" s="213"/>
    </row>
    <row r="761" spans="1:10" x14ac:dyDescent="0.25">
      <c r="A761" s="437" t="s">
        <v>100</v>
      </c>
      <c r="B761" s="438"/>
      <c r="C761" s="438"/>
      <c r="D761" s="438"/>
      <c r="E761" s="438"/>
      <c r="F761" s="438"/>
      <c r="G761" s="438"/>
      <c r="H761" s="438"/>
      <c r="I761" s="439"/>
      <c r="J761" s="247">
        <f>SUM(I757:I760)</f>
        <v>0</v>
      </c>
    </row>
    <row r="762" spans="1:10" x14ac:dyDescent="0.25">
      <c r="A762" s="442" t="s">
        <v>112</v>
      </c>
      <c r="B762" s="442"/>
      <c r="C762" s="442"/>
      <c r="D762" s="442"/>
      <c r="E762" s="442"/>
      <c r="F762" s="442"/>
      <c r="G762" s="442"/>
      <c r="H762" s="442"/>
      <c r="I762" s="442"/>
      <c r="J762" s="442"/>
    </row>
    <row r="763" spans="1:10" x14ac:dyDescent="0.25">
      <c r="A763" s="443" t="s">
        <v>113</v>
      </c>
      <c r="B763" s="443"/>
      <c r="C763" s="443"/>
      <c r="D763" s="443"/>
      <c r="E763" s="223" t="s">
        <v>114</v>
      </c>
      <c r="F763" s="223" t="s">
        <v>115</v>
      </c>
      <c r="G763" s="234" t="s">
        <v>116</v>
      </c>
      <c r="H763" s="223" t="s">
        <v>91</v>
      </c>
      <c r="I763" s="223" t="s">
        <v>92</v>
      </c>
      <c r="J763" s="213"/>
    </row>
    <row r="764" spans="1:10" x14ac:dyDescent="0.25">
      <c r="A764" s="444" t="s">
        <v>97</v>
      </c>
      <c r="B764" s="445"/>
      <c r="C764" s="446"/>
      <c r="D764" s="211">
        <v>1</v>
      </c>
      <c r="E764" s="251">
        <f>+IF(D764="","",VLOOKUP(A764,$L$4:$O$10,3,FALSE))</f>
        <v>101567</v>
      </c>
      <c r="F764" s="252">
        <f>+IF(D764="","",(VLOOKUP(A764,$L$4:$O$10,4,FALSE))+1)</f>
        <v>1.6519796512835072</v>
      </c>
      <c r="G764" s="219">
        <f>+IFERROR(F764*E764*D764,"")</f>
        <v>167786.61724191197</v>
      </c>
      <c r="H764" s="216">
        <v>120</v>
      </c>
      <c r="I764" s="247">
        <f>IFERROR(G764/H764,"")</f>
        <v>1398.2218103492664</v>
      </c>
      <c r="J764" s="213"/>
    </row>
    <row r="765" spans="1:10" ht="13.35" customHeight="1" x14ac:dyDescent="0.25">
      <c r="A765" s="444" t="s">
        <v>93</v>
      </c>
      <c r="B765" s="445"/>
      <c r="C765" s="446"/>
      <c r="D765" s="211">
        <v>1</v>
      </c>
      <c r="E765" s="251">
        <f>+IF(D765="","",VLOOKUP(A765,$L$4:$O$10,3,FALSE))</f>
        <v>77842</v>
      </c>
      <c r="F765" s="252">
        <f>+IF(D765="","",(VLOOKUP(A765,$L$4:$O$10,4,FALSE))+1)</f>
        <v>1.6752877632282406</v>
      </c>
      <c r="G765" s="219">
        <f>+IFERROR(F765*E765*D765,"")</f>
        <v>130407.75006521271</v>
      </c>
      <c r="H765" s="216">
        <f>+H764</f>
        <v>120</v>
      </c>
      <c r="I765" s="247">
        <f t="shared" ref="I765:I766" si="83">IFERROR(G765/H765,"")</f>
        <v>1086.7312505434393</v>
      </c>
      <c r="J765" s="213"/>
    </row>
    <row r="766" spans="1:10" ht="13.35" customHeight="1" x14ac:dyDescent="0.25">
      <c r="A766" s="444"/>
      <c r="B766" s="445"/>
      <c r="C766" s="446"/>
      <c r="D766" s="211"/>
      <c r="E766" s="251" t="str">
        <f>+IF(D766="","",VLOOKUP(A766,$L$4:$O$10,3,FALSE))</f>
        <v/>
      </c>
      <c r="F766" s="252" t="str">
        <f>+IF(D766="","",(VLOOKUP(A766,$L$4:$O$10,4,FALSE))+1)</f>
        <v/>
      </c>
      <c r="G766" s="219" t="str">
        <f>+IFERROR(F766*E766*D766,"")</f>
        <v/>
      </c>
      <c r="H766" s="216"/>
      <c r="I766" s="247" t="str">
        <f t="shared" si="83"/>
        <v/>
      </c>
      <c r="J766" s="213"/>
    </row>
    <row r="767" spans="1:10" x14ac:dyDescent="0.25">
      <c r="A767" s="444"/>
      <c r="B767" s="445"/>
      <c r="C767" s="446"/>
      <c r="D767" s="213"/>
      <c r="E767" s="213"/>
      <c r="F767" s="213"/>
      <c r="G767" s="213"/>
      <c r="H767" s="211"/>
      <c r="I767" s="247"/>
      <c r="J767" s="213"/>
    </row>
    <row r="768" spans="1:10" ht="14.45" customHeight="1" x14ac:dyDescent="0.25">
      <c r="A768" s="437" t="s">
        <v>100</v>
      </c>
      <c r="B768" s="438"/>
      <c r="C768" s="438"/>
      <c r="D768" s="438"/>
      <c r="E768" s="438"/>
      <c r="F768" s="438"/>
      <c r="G768" s="438"/>
      <c r="H768" s="438"/>
      <c r="I768" s="439"/>
      <c r="J768" s="247">
        <f>SUM(I764:I767)</f>
        <v>2484.9530608927057</v>
      </c>
    </row>
    <row r="769" spans="1:12" ht="13.35" customHeight="1" x14ac:dyDescent="0.25">
      <c r="A769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769" s="462"/>
      <c r="C769" s="462"/>
      <c r="D769" s="462"/>
      <c r="E769" s="462"/>
      <c r="F769" s="462"/>
      <c r="G769" s="462"/>
      <c r="H769" s="462"/>
      <c r="I769" s="462"/>
      <c r="J769" s="462"/>
    </row>
    <row r="770" spans="1:12" ht="58.35" customHeight="1" x14ac:dyDescent="0.25">
      <c r="A770" s="463"/>
      <c r="B770" s="463"/>
      <c r="C770" s="463"/>
      <c r="D770" s="463"/>
      <c r="E770" s="462"/>
      <c r="F770" s="462"/>
      <c r="G770" s="462"/>
      <c r="H770" s="462"/>
      <c r="I770" s="462"/>
      <c r="J770" s="462"/>
    </row>
    <row r="771" spans="1:12" ht="22.5" customHeight="1" x14ac:dyDescent="0.25">
      <c r="A771" s="196" t="s">
        <v>78</v>
      </c>
      <c r="B771" s="464" t="s">
        <v>79</v>
      </c>
      <c r="C771" s="464"/>
      <c r="D771" s="464"/>
      <c r="E771" s="464"/>
      <c r="F771" s="464"/>
      <c r="G771" s="464"/>
      <c r="H771" s="464"/>
      <c r="I771" s="197" t="s">
        <v>80</v>
      </c>
      <c r="J771" s="198" t="s">
        <v>81</v>
      </c>
    </row>
    <row r="772" spans="1:12" ht="18.75" customHeight="1" x14ac:dyDescent="0.25">
      <c r="A772" s="203">
        <v>7.04</v>
      </c>
      <c r="B772" s="465" t="e">
        <f>+VLOOKUP(A772,[46]PTO!$B$4:$D$28,2,FALSE)</f>
        <v>#N/A</v>
      </c>
      <c r="C772" s="466"/>
      <c r="D772" s="466"/>
      <c r="E772" s="466"/>
      <c r="F772" s="466"/>
      <c r="G772" s="466"/>
      <c r="H772" s="467"/>
      <c r="I772" s="204" t="e">
        <f>+VLOOKUP(A772,[46]PTO!$B$4:$D$28,3,FALSE)</f>
        <v>#N/A</v>
      </c>
      <c r="J772" s="205">
        <f>+ROUND(SUM(J780:J802),0)</f>
        <v>682528</v>
      </c>
      <c r="L772" s="232" t="e">
        <f>+VLOOKUP(A772,[46]PTO!$B$5:$E$385,5,FALSE)</f>
        <v>#N/A</v>
      </c>
    </row>
    <row r="773" spans="1:12" x14ac:dyDescent="0.25">
      <c r="A773" s="459" t="s">
        <v>87</v>
      </c>
      <c r="B773" s="459"/>
      <c r="C773" s="459"/>
      <c r="D773" s="459"/>
      <c r="E773" s="459"/>
      <c r="F773" s="459"/>
      <c r="G773" s="459"/>
      <c r="H773" s="459"/>
      <c r="I773" s="442"/>
      <c r="J773" s="442"/>
    </row>
    <row r="774" spans="1:12" x14ac:dyDescent="0.25">
      <c r="A774" s="460" t="s">
        <v>2</v>
      </c>
      <c r="B774" s="460"/>
      <c r="C774" s="460"/>
      <c r="D774" s="460"/>
      <c r="E774" s="460"/>
      <c r="F774" s="223" t="s">
        <v>89</v>
      </c>
      <c r="G774" s="234" t="s">
        <v>90</v>
      </c>
      <c r="H774" s="223" t="s">
        <v>91</v>
      </c>
      <c r="I774" s="223" t="s">
        <v>92</v>
      </c>
      <c r="J774" s="213"/>
    </row>
    <row r="775" spans="1:12" x14ac:dyDescent="0.25">
      <c r="A775" s="451" t="s">
        <v>95</v>
      </c>
      <c r="B775" s="451"/>
      <c r="C775" s="451"/>
      <c r="D775" s="451"/>
      <c r="E775" s="451"/>
      <c r="F775" s="214"/>
      <c r="G775" s="215">
        <v>0.05</v>
      </c>
      <c r="H775" s="216"/>
      <c r="I775" s="217">
        <f>+J802*G775</f>
        <v>4860.275579502304</v>
      </c>
      <c r="J775" s="213"/>
    </row>
    <row r="776" spans="1:12" x14ac:dyDescent="0.25">
      <c r="A776" s="461" t="s">
        <v>149</v>
      </c>
      <c r="B776" s="461"/>
      <c r="C776" s="461"/>
      <c r="D776" s="461"/>
      <c r="E776" s="461"/>
      <c r="F776" s="224" t="str">
        <f>+IF(A776="","",VLOOKUP(A776,[46]MATERIALES!$B$7:$D$1222,2,FALSE))</f>
        <v>DIA</v>
      </c>
      <c r="G776" s="225">
        <f>+IF(A776="","",VLOOKUP(A776,[46]MATERIALES!$B$7:$E$1222,3,FALSE))</f>
        <v>3500</v>
      </c>
      <c r="H776" s="238">
        <f>IF(A776="","",IFERROR(1/H798,""))</f>
        <v>0.2</v>
      </c>
      <c r="I776" s="217">
        <f t="shared" ref="I776:I777" si="84">IFERROR(G776*H776,"")</f>
        <v>700</v>
      </c>
      <c r="J776" s="213"/>
    </row>
    <row r="777" spans="1:12" x14ac:dyDescent="0.25">
      <c r="A777" s="451"/>
      <c r="B777" s="451"/>
      <c r="C777" s="451"/>
      <c r="D777" s="451"/>
      <c r="E777" s="451"/>
      <c r="F777" s="224" t="str">
        <f>+IF(A777="","",VLOOKUP(A777,[46]MATERIALES!$B$7:$D$1222,2,FALSE))</f>
        <v/>
      </c>
      <c r="G777" s="225" t="str">
        <f>+IF(A777="","",VLOOKUP(A777,[46]MATERIALES!$B$7:$E$1222,3,FALSE))</f>
        <v/>
      </c>
      <c r="H777" s="238" t="str">
        <f>IF(A777="","",IFERROR(1/H799,""))</f>
        <v/>
      </c>
      <c r="I777" s="217" t="str">
        <f t="shared" si="84"/>
        <v/>
      </c>
      <c r="J777" s="213"/>
    </row>
    <row r="778" spans="1:12" x14ac:dyDescent="0.25">
      <c r="A778" s="451"/>
      <c r="B778" s="451"/>
      <c r="C778" s="451"/>
      <c r="D778" s="451"/>
      <c r="E778" s="451"/>
      <c r="F778" s="214"/>
      <c r="G778" s="218"/>
      <c r="H778" s="238" t="str">
        <f>IF(A778="","",IFERROR(1/H798,""))</f>
        <v/>
      </c>
      <c r="I778" s="217"/>
      <c r="J778" s="213"/>
    </row>
    <row r="779" spans="1:12" x14ac:dyDescent="0.25">
      <c r="A779" s="451"/>
      <c r="B779" s="451"/>
      <c r="C779" s="451"/>
      <c r="D779" s="451"/>
      <c r="E779" s="451"/>
      <c r="F779" s="214"/>
      <c r="G779" s="218"/>
      <c r="H779" s="216"/>
      <c r="I779" s="217"/>
      <c r="J779" s="219"/>
    </row>
    <row r="780" spans="1:12" x14ac:dyDescent="0.25">
      <c r="A780" s="437" t="s">
        <v>100</v>
      </c>
      <c r="B780" s="438"/>
      <c r="C780" s="438"/>
      <c r="D780" s="438"/>
      <c r="E780" s="438"/>
      <c r="F780" s="438"/>
      <c r="G780" s="438"/>
      <c r="H780" s="438"/>
      <c r="I780" s="439"/>
      <c r="J780" s="217">
        <f>+SUM(I775:I779)</f>
        <v>5560.275579502304</v>
      </c>
    </row>
    <row r="781" spans="1:12" x14ac:dyDescent="0.25">
      <c r="A781" s="442" t="s">
        <v>101</v>
      </c>
      <c r="B781" s="442"/>
      <c r="C781" s="442"/>
      <c r="D781" s="442"/>
      <c r="E781" s="442"/>
      <c r="F781" s="442"/>
      <c r="G781" s="442"/>
      <c r="H781" s="442"/>
      <c r="I781" s="442"/>
      <c r="J781" s="442"/>
    </row>
    <row r="782" spans="1:12" x14ac:dyDescent="0.25">
      <c r="A782" s="452" t="s">
        <v>2</v>
      </c>
      <c r="B782" s="453"/>
      <c r="C782" s="453"/>
      <c r="D782" s="454"/>
      <c r="E782" s="223" t="s">
        <v>3</v>
      </c>
      <c r="F782" s="223" t="s">
        <v>102</v>
      </c>
      <c r="G782" s="223" t="s">
        <v>4</v>
      </c>
      <c r="H782" s="223" t="s">
        <v>103</v>
      </c>
      <c r="I782" s="223" t="s">
        <v>92</v>
      </c>
      <c r="J782" s="213"/>
    </row>
    <row r="783" spans="1:12" x14ac:dyDescent="0.25">
      <c r="A783" s="444" t="s">
        <v>150</v>
      </c>
      <c r="B783" s="445"/>
      <c r="C783" s="445"/>
      <c r="D783" s="445"/>
      <c r="E783" s="224" t="str">
        <f>+IF(A783="","",VLOOKUP(A783,[46]MATERIALES!$B$7:$D$225,2,FALSE))</f>
        <v>UN</v>
      </c>
      <c r="F783" s="225">
        <f>+IF(A783="","",VLOOKUP(A783,[46]MATERIALES!$B$7:$E$225,3,FALSE))</f>
        <v>550000</v>
      </c>
      <c r="G783" s="226">
        <v>1</v>
      </c>
      <c r="H783" s="227"/>
      <c r="I783" s="228">
        <f t="shared" ref="I783:I785" si="85">IFERROR((ROUND((F783*G783*(1+H783)),0)),"")</f>
        <v>550000</v>
      </c>
      <c r="J783" s="213"/>
    </row>
    <row r="784" spans="1:12" x14ac:dyDescent="0.25">
      <c r="A784" s="444"/>
      <c r="B784" s="445"/>
      <c r="C784" s="445"/>
      <c r="D784" s="445"/>
      <c r="E784" s="224" t="str">
        <f>+IF(A784="","",VLOOKUP(A784,[46]MATERIALES!$B$7:$D$225,2,FALSE))</f>
        <v/>
      </c>
      <c r="F784" s="225" t="str">
        <f>+IF(A784="","",VLOOKUP(A784,[46]MATERIALES!$B$7:$E$225,3,FALSE))</f>
        <v/>
      </c>
      <c r="G784" s="238"/>
      <c r="H784" s="227"/>
      <c r="I784" s="228" t="str">
        <f t="shared" si="85"/>
        <v/>
      </c>
      <c r="J784" s="213"/>
    </row>
    <row r="785" spans="1:10" x14ac:dyDescent="0.25">
      <c r="A785" s="444"/>
      <c r="B785" s="445"/>
      <c r="C785" s="445"/>
      <c r="D785" s="445"/>
      <c r="E785" s="224" t="str">
        <f>+IF(A785="","",VLOOKUP(A785,[46]MATERIALES!$B$7:$D$225,2,FALSE))</f>
        <v/>
      </c>
      <c r="F785" s="225" t="str">
        <f>+IF(A785="","",VLOOKUP(A785,[46]MATERIALES!$B$7:$E$225,3,FALSE))</f>
        <v/>
      </c>
      <c r="G785" s="226"/>
      <c r="H785" s="227"/>
      <c r="I785" s="228" t="str">
        <f t="shared" si="85"/>
        <v/>
      </c>
      <c r="J785" s="213"/>
    </row>
    <row r="786" spans="1:10" x14ac:dyDescent="0.25">
      <c r="A786" s="444"/>
      <c r="B786" s="445"/>
      <c r="C786" s="445"/>
      <c r="D786" s="445"/>
      <c r="E786" s="224" t="str">
        <f>+IF(A786="","",VLOOKUP(A786,[46]MATERIALES!$B$7:$D$225,2,FALSE))</f>
        <v/>
      </c>
      <c r="F786" s="225" t="str">
        <f>+IF(A786="","",VLOOKUP(A786,[46]MATERIALES!$B$7:$E$225,3,FALSE))</f>
        <v/>
      </c>
      <c r="G786" s="226"/>
      <c r="H786" s="227"/>
      <c r="I786" s="217" t="str">
        <f t="shared" ref="I786" si="86">IFERROR(F786*G786*(1+H786),"")</f>
        <v/>
      </c>
      <c r="J786" s="213"/>
    </row>
    <row r="787" spans="1:10" x14ac:dyDescent="0.25">
      <c r="A787" s="444"/>
      <c r="B787" s="445"/>
      <c r="C787" s="445"/>
      <c r="D787" s="445"/>
      <c r="E787" s="224" t="str">
        <f>+IF(A787="","",VLOOKUP(A787,[46]MATERIALES!$B$7:$D$225,2,FALSE))</f>
        <v/>
      </c>
      <c r="F787" s="225" t="str">
        <f>+IF(A787="","",VLOOKUP(A787,[46]MATERIALES!$B$7:$E$225,3,FALSE))</f>
        <v/>
      </c>
      <c r="G787" s="226"/>
      <c r="H787" s="227"/>
      <c r="I787" s="217" t="str">
        <f>IFERROR(F787*G787*(1+H787),"")</f>
        <v/>
      </c>
      <c r="J787" s="213"/>
    </row>
    <row r="788" spans="1:10" x14ac:dyDescent="0.25">
      <c r="A788" s="437" t="s">
        <v>100</v>
      </c>
      <c r="B788" s="438"/>
      <c r="C788" s="438"/>
      <c r="D788" s="438"/>
      <c r="E788" s="438"/>
      <c r="F788" s="438"/>
      <c r="G788" s="438"/>
      <c r="H788" s="438"/>
      <c r="I788" s="439"/>
      <c r="J788" s="217">
        <f>SUM(I783:I787)</f>
        <v>550000</v>
      </c>
    </row>
    <row r="789" spans="1:10" x14ac:dyDescent="0.25">
      <c r="A789" s="442" t="s">
        <v>106</v>
      </c>
      <c r="B789" s="442"/>
      <c r="C789" s="442"/>
      <c r="D789" s="442"/>
      <c r="E789" s="442"/>
      <c r="F789" s="442"/>
      <c r="G789" s="442"/>
      <c r="H789" s="442"/>
      <c r="I789" s="442"/>
      <c r="J789" s="442"/>
    </row>
    <row r="790" spans="1:10" ht="22.5" x14ac:dyDescent="0.25">
      <c r="A790" s="443" t="s">
        <v>107</v>
      </c>
      <c r="B790" s="443"/>
      <c r="C790" s="443"/>
      <c r="D790" s="443"/>
      <c r="E790" s="223" t="s">
        <v>108</v>
      </c>
      <c r="F790" s="230" t="s">
        <v>109</v>
      </c>
      <c r="G790" s="223" t="s">
        <v>110</v>
      </c>
      <c r="H790" s="223" t="s">
        <v>111</v>
      </c>
      <c r="I790" s="223" t="s">
        <v>92</v>
      </c>
      <c r="J790" s="213"/>
    </row>
    <row r="791" spans="1:10" x14ac:dyDescent="0.25">
      <c r="A791" s="447" t="s">
        <v>126</v>
      </c>
      <c r="B791" s="447"/>
      <c r="C791" s="447"/>
      <c r="D791" s="447"/>
      <c r="E791" s="216" t="str">
        <f>+IF(A791="","",VLOOKUP(A791,[46]MATERIALES!$B$7:$E$1222,2,FALSE))</f>
        <v>m3/km</v>
      </c>
      <c r="F791" s="224">
        <f>0.2*0.2</f>
        <v>4.0000000000000008E-2</v>
      </c>
      <c r="G791" s="231">
        <f>+IF(A791="","",VLOOKUP(A791,[46]MATERIALES!$B$7:$E$1222,4,FALSE))</f>
        <v>413.59999999999997</v>
      </c>
      <c r="H791" s="216">
        <f>+IF(A791="","",VLOOKUP(A791,[46]MATERIALES!$B$7:$E$1222,3,FALSE))</f>
        <v>1799</v>
      </c>
      <c r="I791" s="217">
        <f>IFERROR(G791*H791*F791,"")</f>
        <v>29762.656000000003</v>
      </c>
      <c r="J791" s="213"/>
    </row>
    <row r="792" spans="1:10" x14ac:dyDescent="0.25">
      <c r="A792" s="447"/>
      <c r="B792" s="447"/>
      <c r="C792" s="447"/>
      <c r="D792" s="447"/>
      <c r="E792" s="216" t="str">
        <f>+IF(A792="","",VLOOKUP(A792,[46]MATERIALES!$B$7:$E$1222,2,FALSE))</f>
        <v/>
      </c>
      <c r="F792" s="224"/>
      <c r="G792" s="231" t="str">
        <f>+IF(A792="","",VLOOKUP(A792,[46]MATERIALES!$B$7:$E$1222,4,FALSE))</f>
        <v/>
      </c>
      <c r="H792" s="216" t="str">
        <f>+IF(A792="","",VLOOKUP(A792,[46]MATERIALES!$B$7:$E$1222,3,FALSE))</f>
        <v/>
      </c>
      <c r="I792" s="217" t="str">
        <f>IFERROR(G792*H792*F792,"")</f>
        <v/>
      </c>
      <c r="J792" s="213"/>
    </row>
    <row r="793" spans="1:10" x14ac:dyDescent="0.25">
      <c r="A793" s="447"/>
      <c r="B793" s="447"/>
      <c r="C793" s="447"/>
      <c r="D793" s="447"/>
      <c r="E793" s="213"/>
      <c r="F793" s="214"/>
      <c r="G793" s="233"/>
      <c r="H793" s="216"/>
      <c r="I793" s="219"/>
      <c r="J793" s="213"/>
    </row>
    <row r="794" spans="1:10" x14ac:dyDescent="0.25">
      <c r="A794" s="447"/>
      <c r="B794" s="447"/>
      <c r="C794" s="447"/>
      <c r="D794" s="447"/>
      <c r="E794" s="213"/>
      <c r="F794" s="213"/>
      <c r="G794" s="213"/>
      <c r="H794" s="211"/>
      <c r="I794" s="213"/>
      <c r="J794" s="213"/>
    </row>
    <row r="795" spans="1:10" x14ac:dyDescent="0.25">
      <c r="A795" s="437" t="s">
        <v>100</v>
      </c>
      <c r="B795" s="438"/>
      <c r="C795" s="438"/>
      <c r="D795" s="438"/>
      <c r="E795" s="438"/>
      <c r="F795" s="438"/>
      <c r="G795" s="438"/>
      <c r="H795" s="438"/>
      <c r="I795" s="439"/>
      <c r="J795" s="217">
        <f>SUM(I791:I794)</f>
        <v>29762.656000000003</v>
      </c>
    </row>
    <row r="796" spans="1:10" x14ac:dyDescent="0.25">
      <c r="A796" s="442" t="s">
        <v>112</v>
      </c>
      <c r="B796" s="442"/>
      <c r="C796" s="442"/>
      <c r="D796" s="442"/>
      <c r="E796" s="442"/>
      <c r="F796" s="442"/>
      <c r="G796" s="442"/>
      <c r="H796" s="442"/>
      <c r="I796" s="442"/>
      <c r="J796" s="442"/>
    </row>
    <row r="797" spans="1:10" x14ac:dyDescent="0.25">
      <c r="A797" s="443" t="s">
        <v>113</v>
      </c>
      <c r="B797" s="443"/>
      <c r="C797" s="443"/>
      <c r="D797" s="443"/>
      <c r="E797" s="223" t="s">
        <v>114</v>
      </c>
      <c r="F797" s="223" t="s">
        <v>115</v>
      </c>
      <c r="G797" s="234" t="s">
        <v>116</v>
      </c>
      <c r="H797" s="223" t="s">
        <v>91</v>
      </c>
      <c r="I797" s="223" t="s">
        <v>92</v>
      </c>
      <c r="J797" s="213"/>
    </row>
    <row r="798" spans="1:10" x14ac:dyDescent="0.25">
      <c r="A798" s="444" t="s">
        <v>99</v>
      </c>
      <c r="B798" s="445"/>
      <c r="C798" s="446"/>
      <c r="D798" s="211">
        <v>1</v>
      </c>
      <c r="E798" s="235">
        <f>+IF(D798="","",VLOOKUP(A798,$L$4:$O$10,3,FALSE))</f>
        <v>142350</v>
      </c>
      <c r="F798" s="236">
        <f>+IF(D798="","",(VLOOKUP(A798,$L$4:$O$10,4,FALSE))+1)</f>
        <v>1.5821008628015805</v>
      </c>
      <c r="G798" s="219">
        <f>+IFERROR(F798*E798*D798,"")</f>
        <v>225212.05781980499</v>
      </c>
      <c r="H798" s="216">
        <v>5</v>
      </c>
      <c r="I798" s="217">
        <f>IFERROR(G798/H798,"")</f>
        <v>45042.411563960995</v>
      </c>
      <c r="J798" s="213"/>
    </row>
    <row r="799" spans="1:10" ht="13.35" customHeight="1" x14ac:dyDescent="0.25">
      <c r="A799" s="444" t="s">
        <v>93</v>
      </c>
      <c r="B799" s="445"/>
      <c r="C799" s="446"/>
      <c r="D799" s="211">
        <v>2</v>
      </c>
      <c r="E799" s="235">
        <f>+IF(D799="","",VLOOKUP(A799,$L$4:$O$10,3,FALSE))</f>
        <v>77842</v>
      </c>
      <c r="F799" s="236">
        <f>+IF(D799="","",(VLOOKUP(A799,$L$4:$O$10,4,FALSE))+1)</f>
        <v>1.6752877632282406</v>
      </c>
      <c r="G799" s="219">
        <f>+IFERROR(F799*E799*D799,"")</f>
        <v>260815.50013042541</v>
      </c>
      <c r="H799" s="216">
        <f>+H798</f>
        <v>5</v>
      </c>
      <c r="I799" s="217">
        <f t="shared" ref="I799:I800" si="87">IFERROR(G799/H799,"")</f>
        <v>52163.100026085085</v>
      </c>
      <c r="J799" s="213"/>
    </row>
    <row r="800" spans="1:10" ht="13.35" customHeight="1" x14ac:dyDescent="0.25">
      <c r="A800" s="444"/>
      <c r="B800" s="445"/>
      <c r="C800" s="446"/>
      <c r="D800" s="211"/>
      <c r="E800" s="235" t="str">
        <f>+IF(D800="","",VLOOKUP(A800,$L$4:$O$10,3,FALSE))</f>
        <v/>
      </c>
      <c r="F800" s="236" t="str">
        <f>+IF(D800="","",(VLOOKUP(A800,$L$4:$O$10,4,FALSE))+1)</f>
        <v/>
      </c>
      <c r="G800" s="219" t="str">
        <f>+IFERROR(F800*E800*D800,"")</f>
        <v/>
      </c>
      <c r="H800" s="216"/>
      <c r="I800" s="217" t="str">
        <f t="shared" si="87"/>
        <v/>
      </c>
      <c r="J800" s="213"/>
    </row>
    <row r="801" spans="1:12" x14ac:dyDescent="0.25">
      <c r="A801" s="444"/>
      <c r="B801" s="445"/>
      <c r="C801" s="446"/>
      <c r="D801" s="213"/>
      <c r="E801" s="213"/>
      <c r="F801" s="213"/>
      <c r="G801" s="213"/>
      <c r="H801" s="211"/>
      <c r="I801" s="217"/>
      <c r="J801" s="213"/>
    </row>
    <row r="802" spans="1:12" ht="14.45" customHeight="1" x14ac:dyDescent="0.25">
      <c r="A802" s="437" t="s">
        <v>100</v>
      </c>
      <c r="B802" s="438"/>
      <c r="C802" s="438"/>
      <c r="D802" s="438"/>
      <c r="E802" s="438"/>
      <c r="F802" s="438"/>
      <c r="G802" s="438"/>
      <c r="H802" s="438"/>
      <c r="I802" s="439"/>
      <c r="J802" s="217">
        <f>SUM(I798:I801)</f>
        <v>97205.511590046081</v>
      </c>
    </row>
    <row r="803" spans="1:12" ht="13.35" customHeight="1" x14ac:dyDescent="0.25">
      <c r="A803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803" s="462"/>
      <c r="C803" s="462"/>
      <c r="D803" s="462"/>
      <c r="E803" s="462"/>
      <c r="F803" s="462"/>
      <c r="G803" s="462"/>
      <c r="H803" s="462"/>
      <c r="I803" s="462"/>
      <c r="J803" s="462"/>
    </row>
    <row r="804" spans="1:12" ht="36.75" customHeight="1" x14ac:dyDescent="0.25">
      <c r="A804" s="463"/>
      <c r="B804" s="463"/>
      <c r="C804" s="463"/>
      <c r="D804" s="463"/>
      <c r="E804" s="462"/>
      <c r="F804" s="462"/>
      <c r="G804" s="462"/>
      <c r="H804" s="462"/>
      <c r="I804" s="462"/>
      <c r="J804" s="462"/>
    </row>
    <row r="805" spans="1:12" ht="19.149999999999999" customHeight="1" x14ac:dyDescent="0.25">
      <c r="A805" s="196" t="s">
        <v>78</v>
      </c>
      <c r="B805" s="464" t="s">
        <v>79</v>
      </c>
      <c r="C805" s="464"/>
      <c r="D805" s="464"/>
      <c r="E805" s="464"/>
      <c r="F805" s="464"/>
      <c r="G805" s="464"/>
      <c r="H805" s="464"/>
      <c r="I805" s="197" t="s">
        <v>80</v>
      </c>
      <c r="J805" s="198" t="s">
        <v>81</v>
      </c>
    </row>
    <row r="806" spans="1:12" ht="24.6" customHeight="1" x14ac:dyDescent="0.25">
      <c r="A806" s="203">
        <v>7.05</v>
      </c>
      <c r="B806" s="465" t="e">
        <f>+VLOOKUP(A806,[46]PTO!$B$4:$D$28,2,FALSE)</f>
        <v>#N/A</v>
      </c>
      <c r="C806" s="466"/>
      <c r="D806" s="466"/>
      <c r="E806" s="466"/>
      <c r="F806" s="466"/>
      <c r="G806" s="466"/>
      <c r="H806" s="467"/>
      <c r="I806" s="204" t="e">
        <f>+VLOOKUP(A806,[46]PTO!$B$4:$D$28,3,FALSE)</f>
        <v>#N/A</v>
      </c>
      <c r="J806" s="205">
        <f>+ROUND(SUM(J814:J836),0)</f>
        <v>2551645</v>
      </c>
      <c r="L806" s="232" t="e">
        <f>+VLOOKUP(A806,[46]PTO!$B$5:$E$385,5,FALSE)</f>
        <v>#N/A</v>
      </c>
    </row>
    <row r="807" spans="1:12" x14ac:dyDescent="0.25">
      <c r="A807" s="459" t="s">
        <v>87</v>
      </c>
      <c r="B807" s="459"/>
      <c r="C807" s="459"/>
      <c r="D807" s="459"/>
      <c r="E807" s="459"/>
      <c r="F807" s="459"/>
      <c r="G807" s="459"/>
      <c r="H807" s="459"/>
      <c r="I807" s="442"/>
      <c r="J807" s="442"/>
    </row>
    <row r="808" spans="1:12" x14ac:dyDescent="0.25">
      <c r="A808" s="460" t="s">
        <v>2</v>
      </c>
      <c r="B808" s="460"/>
      <c r="C808" s="460"/>
      <c r="D808" s="460"/>
      <c r="E808" s="460"/>
      <c r="F808" s="223" t="s">
        <v>89</v>
      </c>
      <c r="G808" s="234" t="s">
        <v>90</v>
      </c>
      <c r="H808" s="223" t="s">
        <v>91</v>
      </c>
      <c r="I808" s="223" t="s">
        <v>92</v>
      </c>
      <c r="J808" s="213"/>
    </row>
    <row r="809" spans="1:12" x14ac:dyDescent="0.25">
      <c r="A809" s="451" t="s">
        <v>95</v>
      </c>
      <c r="B809" s="451"/>
      <c r="C809" s="451"/>
      <c r="D809" s="451"/>
      <c r="E809" s="451"/>
      <c r="F809" s="214"/>
      <c r="G809" s="215">
        <v>0.05</v>
      </c>
      <c r="H809" s="216"/>
      <c r="I809" s="217">
        <f>+J836*G809</f>
        <v>121506.88948755758</v>
      </c>
      <c r="J809" s="213"/>
    </row>
    <row r="810" spans="1:12" x14ac:dyDescent="0.25">
      <c r="A810" s="461"/>
      <c r="B810" s="461"/>
      <c r="C810" s="461"/>
      <c r="D810" s="461"/>
      <c r="E810" s="461"/>
      <c r="F810" s="224" t="str">
        <f>+IF(A810="","",VLOOKUP(A810,[46]MATERIALES!$B$7:$D$1222,2,FALSE))</f>
        <v/>
      </c>
      <c r="G810" s="225" t="str">
        <f>+IF(A810="","",VLOOKUP(A810,[46]MATERIALES!$B$7:$E$1222,3,FALSE))</f>
        <v/>
      </c>
      <c r="H810" s="238" t="str">
        <f>IF(A810="","",IFERROR(1/H832,""))</f>
        <v/>
      </c>
      <c r="I810" s="217" t="str">
        <f t="shared" ref="I810:I811" si="88">IFERROR(G810*H810,"")</f>
        <v/>
      </c>
      <c r="J810" s="213"/>
    </row>
    <row r="811" spans="1:12" x14ac:dyDescent="0.25">
      <c r="A811" s="451"/>
      <c r="B811" s="451"/>
      <c r="C811" s="451"/>
      <c r="D811" s="451"/>
      <c r="E811" s="451"/>
      <c r="F811" s="224" t="str">
        <f>+IF(A811="","",VLOOKUP(A811,[46]MATERIALES!$B$7:$D$1222,2,FALSE))</f>
        <v/>
      </c>
      <c r="G811" s="225" t="str">
        <f>+IF(A811="","",VLOOKUP(A811,[46]MATERIALES!$B$7:$E$1222,3,FALSE))</f>
        <v/>
      </c>
      <c r="H811" s="238" t="str">
        <f>IF(A811="","",IFERROR(1/H833,""))</f>
        <v/>
      </c>
      <c r="I811" s="217" t="str">
        <f t="shared" si="88"/>
        <v/>
      </c>
      <c r="J811" s="213"/>
    </row>
    <row r="812" spans="1:12" x14ac:dyDescent="0.25">
      <c r="A812" s="451"/>
      <c r="B812" s="451"/>
      <c r="C812" s="451"/>
      <c r="D812" s="451"/>
      <c r="E812" s="451"/>
      <c r="F812" s="214"/>
      <c r="G812" s="218"/>
      <c r="H812" s="238" t="str">
        <f>IF(A812="","",IFERROR(1/H832,""))</f>
        <v/>
      </c>
      <c r="I812" s="217"/>
      <c r="J812" s="213"/>
    </row>
    <row r="813" spans="1:12" x14ac:dyDescent="0.25">
      <c r="A813" s="451"/>
      <c r="B813" s="451"/>
      <c r="C813" s="451"/>
      <c r="D813" s="451"/>
      <c r="E813" s="451"/>
      <c r="F813" s="214"/>
      <c r="G813" s="218"/>
      <c r="H813" s="216"/>
      <c r="I813" s="217"/>
      <c r="J813" s="219"/>
    </row>
    <row r="814" spans="1:12" x14ac:dyDescent="0.25">
      <c r="A814" s="437" t="s">
        <v>100</v>
      </c>
      <c r="B814" s="438"/>
      <c r="C814" s="438"/>
      <c r="D814" s="438"/>
      <c r="E814" s="438"/>
      <c r="F814" s="438"/>
      <c r="G814" s="438"/>
      <c r="H814" s="438"/>
      <c r="I814" s="439"/>
      <c r="J814" s="217">
        <f>+SUM(I809:I813)</f>
        <v>121506.88948755758</v>
      </c>
    </row>
    <row r="815" spans="1:12" x14ac:dyDescent="0.25">
      <c r="A815" s="442" t="s">
        <v>101</v>
      </c>
      <c r="B815" s="442"/>
      <c r="C815" s="442"/>
      <c r="D815" s="442"/>
      <c r="E815" s="442"/>
      <c r="F815" s="442"/>
      <c r="G815" s="442"/>
      <c r="H815" s="442"/>
      <c r="I815" s="442"/>
      <c r="J815" s="442"/>
    </row>
    <row r="816" spans="1:12" x14ac:dyDescent="0.25">
      <c r="A816" s="452" t="s">
        <v>2</v>
      </c>
      <c r="B816" s="453"/>
      <c r="C816" s="453"/>
      <c r="D816" s="454"/>
      <c r="E816" s="223" t="s">
        <v>3</v>
      </c>
      <c r="F816" s="223" t="s">
        <v>102</v>
      </c>
      <c r="G816" s="223" t="s">
        <v>4</v>
      </c>
      <c r="H816" s="223" t="s">
        <v>103</v>
      </c>
      <c r="I816" s="223" t="s">
        <v>92</v>
      </c>
      <c r="J816" s="213"/>
    </row>
    <row r="817" spans="1:10" x14ac:dyDescent="0.25">
      <c r="A817" s="444"/>
      <c r="B817" s="445"/>
      <c r="C817" s="445"/>
      <c r="D817" s="445"/>
      <c r="E817" s="224" t="str">
        <f>+IF(A817="","",VLOOKUP(A817,[46]MATERIALES!$B$7:$D$225,2,FALSE))</f>
        <v/>
      </c>
      <c r="F817" s="225" t="str">
        <f>+IF(A817="","",VLOOKUP(A817,[46]MATERIALES!$B$7:$E$225,3,FALSE))</f>
        <v/>
      </c>
      <c r="G817" s="226"/>
      <c r="H817" s="227"/>
      <c r="I817" s="228" t="str">
        <f t="shared" ref="I817:I819" si="89">IFERROR((ROUND((F817*G817*(1+H817)),0)),"")</f>
        <v/>
      </c>
      <c r="J817" s="213"/>
    </row>
    <row r="818" spans="1:10" x14ac:dyDescent="0.25">
      <c r="A818" s="444"/>
      <c r="B818" s="445"/>
      <c r="C818" s="445"/>
      <c r="D818" s="445"/>
      <c r="E818" s="224" t="str">
        <f>+IF(A818="","",VLOOKUP(A818,[46]MATERIALES!$B$7:$D$225,2,FALSE))</f>
        <v/>
      </c>
      <c r="F818" s="225" t="str">
        <f>+IF(A818="","",VLOOKUP(A818,[46]MATERIALES!$B$7:$E$225,3,FALSE))</f>
        <v/>
      </c>
      <c r="G818" s="238"/>
      <c r="H818" s="227"/>
      <c r="I818" s="228" t="str">
        <f t="shared" si="89"/>
        <v/>
      </c>
      <c r="J818" s="213"/>
    </row>
    <row r="819" spans="1:10" x14ac:dyDescent="0.25">
      <c r="A819" s="444"/>
      <c r="B819" s="445"/>
      <c r="C819" s="445"/>
      <c r="D819" s="445"/>
      <c r="E819" s="224" t="str">
        <f>+IF(A819="","",VLOOKUP(A819,[46]MATERIALES!$B$7:$D$225,2,FALSE))</f>
        <v/>
      </c>
      <c r="F819" s="225" t="str">
        <f>+IF(A819="","",VLOOKUP(A819,[46]MATERIALES!$B$7:$E$225,3,FALSE))</f>
        <v/>
      </c>
      <c r="G819" s="226"/>
      <c r="H819" s="227"/>
      <c r="I819" s="228" t="str">
        <f t="shared" si="89"/>
        <v/>
      </c>
      <c r="J819" s="213"/>
    </row>
    <row r="820" spans="1:10" x14ac:dyDescent="0.25">
      <c r="A820" s="444"/>
      <c r="B820" s="445"/>
      <c r="C820" s="445"/>
      <c r="D820" s="445"/>
      <c r="E820" s="224" t="str">
        <f>+IF(A820="","",VLOOKUP(A820,[46]MATERIALES!$B$7:$D$225,2,FALSE))</f>
        <v/>
      </c>
      <c r="F820" s="225" t="str">
        <f>+IF(A820="","",VLOOKUP(A820,[46]MATERIALES!$B$7:$E$225,3,FALSE))</f>
        <v/>
      </c>
      <c r="G820" s="226"/>
      <c r="H820" s="227"/>
      <c r="I820" s="217" t="str">
        <f t="shared" ref="I820" si="90">IFERROR(F820*G820*(1+H820),"")</f>
        <v/>
      </c>
      <c r="J820" s="213"/>
    </row>
    <row r="821" spans="1:10" x14ac:dyDescent="0.25">
      <c r="A821" s="444"/>
      <c r="B821" s="445"/>
      <c r="C821" s="445"/>
      <c r="D821" s="445"/>
      <c r="E821" s="224" t="str">
        <f>+IF(A821="","",VLOOKUP(A821,[46]MATERIALES!$B$7:$D$225,2,FALSE))</f>
        <v/>
      </c>
      <c r="F821" s="225" t="str">
        <f>+IF(A821="","",VLOOKUP(A821,[46]MATERIALES!$B$7:$E$225,3,FALSE))</f>
        <v/>
      </c>
      <c r="G821" s="226"/>
      <c r="H821" s="227"/>
      <c r="I821" s="217" t="str">
        <f>IFERROR(F821*G821*(1+H821),"")</f>
        <v/>
      </c>
      <c r="J821" s="213"/>
    </row>
    <row r="822" spans="1:10" x14ac:dyDescent="0.25">
      <c r="A822" s="437" t="s">
        <v>100</v>
      </c>
      <c r="B822" s="438"/>
      <c r="C822" s="438"/>
      <c r="D822" s="438"/>
      <c r="E822" s="438"/>
      <c r="F822" s="438"/>
      <c r="G822" s="438"/>
      <c r="H822" s="438"/>
      <c r="I822" s="439"/>
      <c r="J822" s="217">
        <f>SUM(I817:I821)</f>
        <v>0</v>
      </c>
    </row>
    <row r="823" spans="1:10" x14ac:dyDescent="0.25">
      <c r="A823" s="442" t="s">
        <v>106</v>
      </c>
      <c r="B823" s="442"/>
      <c r="C823" s="442"/>
      <c r="D823" s="442"/>
      <c r="E823" s="442"/>
      <c r="F823" s="442"/>
      <c r="G823" s="442"/>
      <c r="H823" s="442"/>
      <c r="I823" s="442"/>
      <c r="J823" s="442"/>
    </row>
    <row r="824" spans="1:10" ht="22.5" x14ac:dyDescent="0.25">
      <c r="A824" s="443" t="s">
        <v>107</v>
      </c>
      <c r="B824" s="443"/>
      <c r="C824" s="443"/>
      <c r="D824" s="443"/>
      <c r="E824" s="223" t="s">
        <v>108</v>
      </c>
      <c r="F824" s="230" t="s">
        <v>109</v>
      </c>
      <c r="G824" s="223" t="s">
        <v>110</v>
      </c>
      <c r="H824" s="223" t="s">
        <v>111</v>
      </c>
      <c r="I824" s="223" t="s">
        <v>92</v>
      </c>
      <c r="J824" s="213"/>
    </row>
    <row r="825" spans="1:10" x14ac:dyDescent="0.25">
      <c r="A825" s="447"/>
      <c r="B825" s="447"/>
      <c r="C825" s="447"/>
      <c r="D825" s="447"/>
      <c r="E825" s="216" t="str">
        <f>+IF(A825="","",VLOOKUP(A825,[46]MATERIALES!$B$7:$E$1222,2,FALSE))</f>
        <v/>
      </c>
      <c r="F825" s="224"/>
      <c r="G825" s="231" t="str">
        <f>+IF(A825="","",VLOOKUP(A825,[46]MATERIALES!$B$7:$E$1222,4,FALSE))</f>
        <v/>
      </c>
      <c r="H825" s="216" t="str">
        <f>+IF(A825="","",VLOOKUP(A825,[46]MATERIALES!$B$7:$E$1222,3,FALSE))</f>
        <v/>
      </c>
      <c r="I825" s="217" t="str">
        <f>IFERROR(G825*H825*F825,"")</f>
        <v/>
      </c>
      <c r="J825" s="213"/>
    </row>
    <row r="826" spans="1:10" x14ac:dyDescent="0.25">
      <c r="A826" s="447"/>
      <c r="B826" s="447"/>
      <c r="C826" s="447"/>
      <c r="D826" s="447"/>
      <c r="E826" s="216" t="str">
        <f>+IF(A826="","",VLOOKUP(A826,[46]MATERIALES!$B$7:$E$1222,2,FALSE))</f>
        <v/>
      </c>
      <c r="F826" s="224"/>
      <c r="G826" s="231" t="str">
        <f>+IF(A826="","",VLOOKUP(A826,[46]MATERIALES!$B$7:$E$1222,4,FALSE))</f>
        <v/>
      </c>
      <c r="H826" s="216" t="str">
        <f>+IF(A826="","",VLOOKUP(A826,[46]MATERIALES!$B$7:$E$1222,3,FALSE))</f>
        <v/>
      </c>
      <c r="I826" s="217" t="str">
        <f>IFERROR(G826*H826*F826,"")</f>
        <v/>
      </c>
      <c r="J826" s="213"/>
    </row>
    <row r="827" spans="1:10" x14ac:dyDescent="0.25">
      <c r="A827" s="447"/>
      <c r="B827" s="447"/>
      <c r="C827" s="447"/>
      <c r="D827" s="447"/>
      <c r="E827" s="213"/>
      <c r="F827" s="214"/>
      <c r="G827" s="233"/>
      <c r="H827" s="216"/>
      <c r="I827" s="219"/>
      <c r="J827" s="213"/>
    </row>
    <row r="828" spans="1:10" x14ac:dyDescent="0.25">
      <c r="A828" s="447"/>
      <c r="B828" s="447"/>
      <c r="C828" s="447"/>
      <c r="D828" s="447"/>
      <c r="E828" s="213"/>
      <c r="F828" s="213"/>
      <c r="G828" s="213"/>
      <c r="H828" s="211"/>
      <c r="I828" s="213"/>
      <c r="J828" s="213"/>
    </row>
    <row r="829" spans="1:10" x14ac:dyDescent="0.25">
      <c r="A829" s="437" t="s">
        <v>100</v>
      </c>
      <c r="B829" s="438"/>
      <c r="C829" s="438"/>
      <c r="D829" s="438"/>
      <c r="E829" s="438"/>
      <c r="F829" s="438"/>
      <c r="G829" s="438"/>
      <c r="H829" s="438"/>
      <c r="I829" s="439"/>
      <c r="J829" s="217">
        <f>SUM(I825:I828)</f>
        <v>0</v>
      </c>
    </row>
    <row r="830" spans="1:10" x14ac:dyDescent="0.25">
      <c r="A830" s="442" t="s">
        <v>112</v>
      </c>
      <c r="B830" s="442"/>
      <c r="C830" s="442"/>
      <c r="D830" s="442"/>
      <c r="E830" s="442"/>
      <c r="F830" s="442"/>
      <c r="G830" s="442"/>
      <c r="H830" s="442"/>
      <c r="I830" s="442"/>
      <c r="J830" s="442"/>
    </row>
    <row r="831" spans="1:10" x14ac:dyDescent="0.25">
      <c r="A831" s="443" t="s">
        <v>113</v>
      </c>
      <c r="B831" s="443"/>
      <c r="C831" s="443"/>
      <c r="D831" s="443"/>
      <c r="E831" s="223" t="s">
        <v>114</v>
      </c>
      <c r="F831" s="223" t="s">
        <v>115</v>
      </c>
      <c r="G831" s="234" t="s">
        <v>116</v>
      </c>
      <c r="H831" s="223" t="s">
        <v>91</v>
      </c>
      <c r="I831" s="223" t="s">
        <v>92</v>
      </c>
      <c r="J831" s="213"/>
    </row>
    <row r="832" spans="1:10" x14ac:dyDescent="0.25">
      <c r="A832" s="444" t="s">
        <v>99</v>
      </c>
      <c r="B832" s="445"/>
      <c r="C832" s="446"/>
      <c r="D832" s="211">
        <v>1</v>
      </c>
      <c r="E832" s="235">
        <f>+IF(D832="","",VLOOKUP(A832,$L$4:$O$10,3,FALSE))</f>
        <v>142350</v>
      </c>
      <c r="F832" s="236">
        <f>+IF(D832="","",(VLOOKUP(A832,$L$4:$O$10,4,FALSE))+1)</f>
        <v>1.5821008628015805</v>
      </c>
      <c r="G832" s="219">
        <f>+IFERROR(F832*E832*D832,"")</f>
        <v>225212.05781980499</v>
      </c>
      <c r="H832" s="216">
        <v>0.2</v>
      </c>
      <c r="I832" s="217">
        <f>IFERROR(G832/H832,"")</f>
        <v>1126060.2890990248</v>
      </c>
      <c r="J832" s="213"/>
    </row>
    <row r="833" spans="1:12" ht="13.35" customHeight="1" x14ac:dyDescent="0.25">
      <c r="A833" s="444" t="s">
        <v>93</v>
      </c>
      <c r="B833" s="445"/>
      <c r="C833" s="446"/>
      <c r="D833" s="211">
        <v>2</v>
      </c>
      <c r="E833" s="235">
        <f>+IF(D833="","",VLOOKUP(A833,$L$4:$O$10,3,FALSE))</f>
        <v>77842</v>
      </c>
      <c r="F833" s="236">
        <f>+IF(D833="","",(VLOOKUP(A833,$L$4:$O$10,4,FALSE))+1)</f>
        <v>1.6752877632282406</v>
      </c>
      <c r="G833" s="219">
        <f>+IFERROR(F833*E833*D833,"")</f>
        <v>260815.50013042541</v>
      </c>
      <c r="H833" s="216">
        <f>+H832</f>
        <v>0.2</v>
      </c>
      <c r="I833" s="217">
        <f t="shared" ref="I833:I834" si="91">IFERROR(G833/H833,"")</f>
        <v>1304077.500652127</v>
      </c>
      <c r="J833" s="213"/>
    </row>
    <row r="834" spans="1:12" ht="13.35" customHeight="1" x14ac:dyDescent="0.25">
      <c r="A834" s="444"/>
      <c r="B834" s="445"/>
      <c r="C834" s="446"/>
      <c r="D834" s="211"/>
      <c r="E834" s="235" t="str">
        <f>+IF(D834="","",VLOOKUP(A834,$L$4:$O$10,3,FALSE))</f>
        <v/>
      </c>
      <c r="F834" s="236" t="str">
        <f>+IF(D834="","",(VLOOKUP(A834,$L$4:$O$10,4,FALSE))+1)</f>
        <v/>
      </c>
      <c r="G834" s="219" t="str">
        <f>+IFERROR(F834*E834*D834,"")</f>
        <v/>
      </c>
      <c r="H834" s="216"/>
      <c r="I834" s="217" t="str">
        <f t="shared" si="91"/>
        <v/>
      </c>
      <c r="J834" s="213"/>
    </row>
    <row r="835" spans="1:12" x14ac:dyDescent="0.25">
      <c r="A835" s="444"/>
      <c r="B835" s="445"/>
      <c r="C835" s="446"/>
      <c r="D835" s="213"/>
      <c r="E835" s="213"/>
      <c r="F835" s="213"/>
      <c r="G835" s="213"/>
      <c r="H835" s="211"/>
      <c r="I835" s="217"/>
      <c r="J835" s="213"/>
    </row>
    <row r="836" spans="1:12" ht="14.45" customHeight="1" x14ac:dyDescent="0.25">
      <c r="A836" s="437" t="s">
        <v>100</v>
      </c>
      <c r="B836" s="438"/>
      <c r="C836" s="438"/>
      <c r="D836" s="438"/>
      <c r="E836" s="438"/>
      <c r="F836" s="438"/>
      <c r="G836" s="438"/>
      <c r="H836" s="438"/>
      <c r="I836" s="439"/>
      <c r="J836" s="217">
        <f>SUM(I832:I835)</f>
        <v>2430137.7897511516</v>
      </c>
    </row>
    <row r="837" spans="1:12" ht="13.35" customHeight="1" x14ac:dyDescent="0.25">
      <c r="A837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837" s="462"/>
      <c r="C837" s="462"/>
      <c r="D837" s="462"/>
      <c r="E837" s="462"/>
      <c r="F837" s="462"/>
      <c r="G837" s="462"/>
      <c r="H837" s="462"/>
      <c r="I837" s="462"/>
      <c r="J837" s="462"/>
    </row>
    <row r="838" spans="1:12" ht="35.450000000000003" customHeight="1" x14ac:dyDescent="0.25">
      <c r="A838" s="463"/>
      <c r="B838" s="463"/>
      <c r="C838" s="463"/>
      <c r="D838" s="463"/>
      <c r="E838" s="462"/>
      <c r="F838" s="462"/>
      <c r="G838" s="462"/>
      <c r="H838" s="462"/>
      <c r="I838" s="462"/>
      <c r="J838" s="462"/>
    </row>
    <row r="839" spans="1:12" ht="20.45" customHeight="1" x14ac:dyDescent="0.25">
      <c r="A839" s="196" t="s">
        <v>78</v>
      </c>
      <c r="B839" s="464" t="s">
        <v>79</v>
      </c>
      <c r="C839" s="464"/>
      <c r="D839" s="464"/>
      <c r="E839" s="464"/>
      <c r="F839" s="464"/>
      <c r="G839" s="464"/>
      <c r="H839" s="464"/>
      <c r="I839" s="197" t="s">
        <v>80</v>
      </c>
      <c r="J839" s="198" t="s">
        <v>81</v>
      </c>
    </row>
    <row r="840" spans="1:12" ht="19.149999999999999" customHeight="1" x14ac:dyDescent="0.25">
      <c r="A840" s="203">
        <v>7.06</v>
      </c>
      <c r="B840" s="465" t="e">
        <f>+VLOOKUP(A840,[46]PTO!$B$4:$D$28,2,FALSE)</f>
        <v>#N/A</v>
      </c>
      <c r="C840" s="466"/>
      <c r="D840" s="466"/>
      <c r="E840" s="466"/>
      <c r="F840" s="466"/>
      <c r="G840" s="466"/>
      <c r="H840" s="467"/>
      <c r="I840" s="204" t="e">
        <f>+VLOOKUP(A840,[46]PTO!$B$4:$D$28,3,FALSE)</f>
        <v>#N/A</v>
      </c>
      <c r="J840" s="205">
        <f>+ROUND(SUM(J848:J871),0)</f>
        <v>63033</v>
      </c>
      <c r="L840" s="232" t="e">
        <f>+VLOOKUP(A840,[46]PTO!$B$5:$E$385,5,FALSE)</f>
        <v>#N/A</v>
      </c>
    </row>
    <row r="841" spans="1:12" x14ac:dyDescent="0.25">
      <c r="A841" s="459" t="s">
        <v>87</v>
      </c>
      <c r="B841" s="459"/>
      <c r="C841" s="459"/>
      <c r="D841" s="459"/>
      <c r="E841" s="459"/>
      <c r="F841" s="459"/>
      <c r="G841" s="459"/>
      <c r="H841" s="459"/>
      <c r="I841" s="442"/>
      <c r="J841" s="442"/>
    </row>
    <row r="842" spans="1:12" x14ac:dyDescent="0.25">
      <c r="A842" s="460" t="s">
        <v>2</v>
      </c>
      <c r="B842" s="460"/>
      <c r="C842" s="460"/>
      <c r="D842" s="460"/>
      <c r="E842" s="460"/>
      <c r="F842" s="223" t="s">
        <v>89</v>
      </c>
      <c r="G842" s="234" t="s">
        <v>90</v>
      </c>
      <c r="H842" s="223" t="s">
        <v>91</v>
      </c>
      <c r="I842" s="223" t="s">
        <v>92</v>
      </c>
      <c r="J842" s="213"/>
    </row>
    <row r="843" spans="1:12" x14ac:dyDescent="0.25">
      <c r="A843" s="451" t="s">
        <v>95</v>
      </c>
      <c r="B843" s="451"/>
      <c r="C843" s="451"/>
      <c r="D843" s="451"/>
      <c r="E843" s="451"/>
      <c r="F843" s="214"/>
      <c r="G843" s="215">
        <v>0.05</v>
      </c>
      <c r="H843" s="216"/>
      <c r="I843" s="217">
        <f>+J871*G843</f>
        <v>2430.137789751152</v>
      </c>
      <c r="J843" s="213"/>
    </row>
    <row r="844" spans="1:12" x14ac:dyDescent="0.25">
      <c r="A844" s="461" t="s">
        <v>120</v>
      </c>
      <c r="B844" s="461"/>
      <c r="C844" s="461"/>
      <c r="D844" s="461"/>
      <c r="E844" s="461"/>
      <c r="F844" s="224" t="str">
        <f>+IF(A844="","",VLOOKUP(A844,[46]MATERIALES!$B$7:$D$1222,2,FALSE))</f>
        <v>DIA</v>
      </c>
      <c r="G844" s="225">
        <f>+IF(A844="","",VLOOKUP(A844,[46]MATERIALES!$B$7:$E$1222,3,FALSE))</f>
        <v>120000</v>
      </c>
      <c r="H844" s="238">
        <f>IF(A844="","",IFERROR(1/H867,""))</f>
        <v>0.1</v>
      </c>
      <c r="I844" s="217">
        <f t="shared" ref="I844:I845" si="92">IFERROR(G844*H844,"")</f>
        <v>12000</v>
      </c>
      <c r="J844" s="213"/>
    </row>
    <row r="845" spans="1:12" x14ac:dyDescent="0.25">
      <c r="A845" s="451"/>
      <c r="B845" s="451"/>
      <c r="C845" s="451"/>
      <c r="D845" s="451"/>
      <c r="E845" s="451"/>
      <c r="F845" s="224" t="str">
        <f>+IF(A845="","",VLOOKUP(A845,[46]MATERIALES!$B$7:$D$1222,2,FALSE))</f>
        <v/>
      </c>
      <c r="G845" s="225" t="str">
        <f>+IF(A845="","",VLOOKUP(A845,[46]MATERIALES!$B$7:$E$1222,3,FALSE))</f>
        <v/>
      </c>
      <c r="H845" s="238" t="str">
        <f>IF(A845="","",IFERROR(1/H868,""))</f>
        <v/>
      </c>
      <c r="I845" s="217" t="str">
        <f t="shared" si="92"/>
        <v/>
      </c>
      <c r="J845" s="213"/>
    </row>
    <row r="846" spans="1:12" x14ac:dyDescent="0.25">
      <c r="A846" s="451"/>
      <c r="B846" s="451"/>
      <c r="C846" s="451"/>
      <c r="D846" s="451"/>
      <c r="E846" s="451"/>
      <c r="F846" s="214"/>
      <c r="G846" s="218"/>
      <c r="H846" s="238" t="str">
        <f>IF(A846="","",IFERROR(1/H867,""))</f>
        <v/>
      </c>
      <c r="I846" s="217"/>
      <c r="J846" s="213"/>
    </row>
    <row r="847" spans="1:12" x14ac:dyDescent="0.25">
      <c r="A847" s="451"/>
      <c r="B847" s="451"/>
      <c r="C847" s="451"/>
      <c r="D847" s="451"/>
      <c r="E847" s="451"/>
      <c r="F847" s="214"/>
      <c r="G847" s="218"/>
      <c r="H847" s="216"/>
      <c r="I847" s="217"/>
      <c r="J847" s="219"/>
    </row>
    <row r="848" spans="1:12" x14ac:dyDescent="0.25">
      <c r="A848" s="437" t="s">
        <v>100</v>
      </c>
      <c r="B848" s="438"/>
      <c r="C848" s="438"/>
      <c r="D848" s="438"/>
      <c r="E848" s="438"/>
      <c r="F848" s="438"/>
      <c r="G848" s="438"/>
      <c r="H848" s="438"/>
      <c r="I848" s="439"/>
      <c r="J848" s="217">
        <f>+SUM(I843:I847)</f>
        <v>14430.137789751152</v>
      </c>
    </row>
    <row r="849" spans="1:10" x14ac:dyDescent="0.25">
      <c r="A849" s="442" t="s">
        <v>101</v>
      </c>
      <c r="B849" s="442"/>
      <c r="C849" s="442"/>
      <c r="D849" s="442"/>
      <c r="E849" s="442"/>
      <c r="F849" s="442"/>
      <c r="G849" s="442"/>
      <c r="H849" s="442"/>
      <c r="I849" s="442"/>
      <c r="J849" s="442"/>
    </row>
    <row r="850" spans="1:10" x14ac:dyDescent="0.25">
      <c r="A850" s="452" t="s">
        <v>2</v>
      </c>
      <c r="B850" s="453"/>
      <c r="C850" s="453"/>
      <c r="D850" s="454"/>
      <c r="E850" s="223" t="s">
        <v>3</v>
      </c>
      <c r="F850" s="223" t="s">
        <v>102</v>
      </c>
      <c r="G850" s="223" t="s">
        <v>4</v>
      </c>
      <c r="H850" s="223" t="s">
        <v>103</v>
      </c>
      <c r="I850" s="223" t="s">
        <v>92</v>
      </c>
      <c r="J850" s="213"/>
    </row>
    <row r="851" spans="1:10" x14ac:dyDescent="0.25">
      <c r="A851" s="444"/>
      <c r="B851" s="445"/>
      <c r="C851" s="445"/>
      <c r="D851" s="445"/>
      <c r="E851" s="224" t="str">
        <f>+IF(A851="","",VLOOKUP(A851,[46]MATERIALES!$B$7:$D$225,2,FALSE))</f>
        <v/>
      </c>
      <c r="F851" s="225" t="str">
        <f>+IF(A851="","",VLOOKUP(A851,[46]MATERIALES!$B$7:$E$225,3,FALSE))</f>
        <v/>
      </c>
      <c r="G851" s="226"/>
      <c r="H851" s="227"/>
      <c r="I851" s="228" t="str">
        <f t="shared" ref="I851:I854" si="93">IFERROR((ROUND((F851*G851*(1+H851)),0)),"")</f>
        <v/>
      </c>
      <c r="J851" s="213"/>
    </row>
    <row r="852" spans="1:10" x14ac:dyDescent="0.25">
      <c r="A852" s="444"/>
      <c r="B852" s="445"/>
      <c r="C852" s="445"/>
      <c r="D852" s="445"/>
      <c r="E852" s="224" t="str">
        <f>+IF(A852="","",VLOOKUP(A852,[46]MATERIALES!$B$7:$D$225,2,FALSE))</f>
        <v/>
      </c>
      <c r="F852" s="225" t="str">
        <f>+IF(A852="","",VLOOKUP(A852,[46]MATERIALES!$B$7:$E$225,3,FALSE))</f>
        <v/>
      </c>
      <c r="G852" s="226"/>
      <c r="H852" s="227"/>
      <c r="I852" s="228" t="str">
        <f t="shared" si="93"/>
        <v/>
      </c>
      <c r="J852" s="213"/>
    </row>
    <row r="853" spans="1:10" x14ac:dyDescent="0.25">
      <c r="A853" s="444"/>
      <c r="B853" s="445"/>
      <c r="C853" s="445"/>
      <c r="D853" s="445"/>
      <c r="E853" s="224" t="str">
        <f>+IF(A853="","",VLOOKUP(A853,[46]MATERIALES!$B$7:$D$225,2,FALSE))</f>
        <v/>
      </c>
      <c r="F853" s="225" t="str">
        <f>+IF(A853="","",VLOOKUP(A853,[46]MATERIALES!$B$7:$E$225,3,FALSE))</f>
        <v/>
      </c>
      <c r="G853" s="238"/>
      <c r="H853" s="227"/>
      <c r="I853" s="228" t="str">
        <f t="shared" si="93"/>
        <v/>
      </c>
      <c r="J853" s="213"/>
    </row>
    <row r="854" spans="1:10" x14ac:dyDescent="0.25">
      <c r="A854" s="444"/>
      <c r="B854" s="445"/>
      <c r="C854" s="445"/>
      <c r="D854" s="445"/>
      <c r="E854" s="224" t="str">
        <f>+IF(A854="","",VLOOKUP(A854,[46]MATERIALES!$B$7:$D$225,2,FALSE))</f>
        <v/>
      </c>
      <c r="F854" s="225" t="str">
        <f>+IF(A854="","",VLOOKUP(A854,[46]MATERIALES!$B$7:$E$225,3,FALSE))</f>
        <v/>
      </c>
      <c r="G854" s="226"/>
      <c r="H854" s="227"/>
      <c r="I854" s="228" t="str">
        <f t="shared" si="93"/>
        <v/>
      </c>
      <c r="J854" s="213"/>
    </row>
    <row r="855" spans="1:10" x14ac:dyDescent="0.25">
      <c r="A855" s="444"/>
      <c r="B855" s="445"/>
      <c r="C855" s="445"/>
      <c r="D855" s="445"/>
      <c r="E855" s="224" t="str">
        <f>+IF(A855="","",VLOOKUP(A855,[46]MATERIALES!$B$7:$D$225,2,FALSE))</f>
        <v/>
      </c>
      <c r="F855" s="225" t="str">
        <f>+IF(A855="","",VLOOKUP(A855,[46]MATERIALES!$B$7:$E$225,3,FALSE))</f>
        <v/>
      </c>
      <c r="G855" s="226"/>
      <c r="H855" s="227"/>
      <c r="I855" s="217" t="str">
        <f t="shared" ref="I855" si="94">IFERROR(F855*G855*(1+H855),"")</f>
        <v/>
      </c>
      <c r="J855" s="213"/>
    </row>
    <row r="856" spans="1:10" x14ac:dyDescent="0.25">
      <c r="A856" s="444"/>
      <c r="B856" s="445"/>
      <c r="C856" s="445"/>
      <c r="D856" s="445"/>
      <c r="E856" s="224" t="str">
        <f>+IF(A856="","",VLOOKUP(A856,[46]MATERIALES!$B$7:$D$225,2,FALSE))</f>
        <v/>
      </c>
      <c r="F856" s="225" t="str">
        <f>+IF(A856="","",VLOOKUP(A856,[46]MATERIALES!$B$7:$E$225,3,FALSE))</f>
        <v/>
      </c>
      <c r="G856" s="226"/>
      <c r="H856" s="227"/>
      <c r="I856" s="217" t="str">
        <f>IFERROR(F856*G856*(1+H856),"")</f>
        <v/>
      </c>
      <c r="J856" s="213"/>
    </row>
    <row r="857" spans="1:10" x14ac:dyDescent="0.25">
      <c r="A857" s="437" t="s">
        <v>100</v>
      </c>
      <c r="B857" s="438"/>
      <c r="C857" s="438"/>
      <c r="D857" s="438"/>
      <c r="E857" s="438"/>
      <c r="F857" s="438"/>
      <c r="G857" s="438"/>
      <c r="H857" s="438"/>
      <c r="I857" s="439"/>
      <c r="J857" s="217">
        <f>SUM(I851:I856)</f>
        <v>0</v>
      </c>
    </row>
    <row r="858" spans="1:10" x14ac:dyDescent="0.25">
      <c r="A858" s="442" t="s">
        <v>106</v>
      </c>
      <c r="B858" s="442"/>
      <c r="C858" s="442"/>
      <c r="D858" s="442"/>
      <c r="E858" s="442"/>
      <c r="F858" s="442"/>
      <c r="G858" s="442"/>
      <c r="H858" s="442"/>
      <c r="I858" s="442"/>
      <c r="J858" s="442"/>
    </row>
    <row r="859" spans="1:10" ht="22.5" x14ac:dyDescent="0.25">
      <c r="A859" s="443" t="s">
        <v>107</v>
      </c>
      <c r="B859" s="443"/>
      <c r="C859" s="443"/>
      <c r="D859" s="443"/>
      <c r="E859" s="223" t="s">
        <v>108</v>
      </c>
      <c r="F859" s="230" t="s">
        <v>109</v>
      </c>
      <c r="G859" s="223" t="s">
        <v>110</v>
      </c>
      <c r="H859" s="223" t="s">
        <v>111</v>
      </c>
      <c r="I859" s="223" t="s">
        <v>92</v>
      </c>
      <c r="J859" s="213"/>
    </row>
    <row r="860" spans="1:10" x14ac:dyDescent="0.25">
      <c r="A860" s="447"/>
      <c r="B860" s="447"/>
      <c r="C860" s="447"/>
      <c r="D860" s="447"/>
      <c r="E860" s="216" t="str">
        <f>+IF(A860="","",VLOOKUP(A860,[46]MATERIALES!$B$7:$E$1222,2,FALSE))</f>
        <v/>
      </c>
      <c r="F860" s="224"/>
      <c r="G860" s="231" t="str">
        <f>+IF(A860="","",VLOOKUP(A860,[46]MATERIALES!$B$7:$E$1222,4,FALSE))</f>
        <v/>
      </c>
      <c r="H860" s="216" t="str">
        <f>+IF(A860="","",VLOOKUP(A860,[46]MATERIALES!$B$7:$E$1222,3,FALSE))</f>
        <v/>
      </c>
      <c r="I860" s="217" t="str">
        <f>IFERROR(G860*H860*F860,"")</f>
        <v/>
      </c>
      <c r="J860" s="213"/>
    </row>
    <row r="861" spans="1:10" x14ac:dyDescent="0.25">
      <c r="A861" s="447"/>
      <c r="B861" s="447"/>
      <c r="C861" s="447"/>
      <c r="D861" s="447"/>
      <c r="E861" s="216" t="str">
        <f>+IF(A861="","",VLOOKUP(A861,[46]MATERIALES!$B$7:$E$1222,2,FALSE))</f>
        <v/>
      </c>
      <c r="F861" s="224"/>
      <c r="G861" s="231" t="str">
        <f>+IF(A861="","",VLOOKUP(A861,[46]MATERIALES!$B$7:$E$1222,4,FALSE))</f>
        <v/>
      </c>
      <c r="H861" s="216" t="str">
        <f>+IF(A861="","",VLOOKUP(A861,[46]MATERIALES!$B$7:$E$1222,3,FALSE))</f>
        <v/>
      </c>
      <c r="I861" s="217" t="str">
        <f>IFERROR(G861*H861*F861,"")</f>
        <v/>
      </c>
      <c r="J861" s="213"/>
    </row>
    <row r="862" spans="1:10" x14ac:dyDescent="0.25">
      <c r="A862" s="447"/>
      <c r="B862" s="447"/>
      <c r="C862" s="447"/>
      <c r="D862" s="447"/>
      <c r="E862" s="213"/>
      <c r="F862" s="214"/>
      <c r="G862" s="233"/>
      <c r="H862" s="216"/>
      <c r="I862" s="219"/>
      <c r="J862" s="213"/>
    </row>
    <row r="863" spans="1:10" x14ac:dyDescent="0.25">
      <c r="A863" s="447"/>
      <c r="B863" s="447"/>
      <c r="C863" s="447"/>
      <c r="D863" s="447"/>
      <c r="E863" s="213"/>
      <c r="F863" s="213"/>
      <c r="G863" s="213"/>
      <c r="H863" s="211"/>
      <c r="I863" s="213"/>
      <c r="J863" s="213"/>
    </row>
    <row r="864" spans="1:10" x14ac:dyDescent="0.25">
      <c r="A864" s="437" t="s">
        <v>100</v>
      </c>
      <c r="B864" s="438"/>
      <c r="C864" s="438"/>
      <c r="D864" s="438"/>
      <c r="E864" s="438"/>
      <c r="F864" s="438"/>
      <c r="G864" s="438"/>
      <c r="H864" s="438"/>
      <c r="I864" s="439"/>
      <c r="J864" s="217">
        <f>SUM(I860:I863)</f>
        <v>0</v>
      </c>
    </row>
    <row r="865" spans="1:12" x14ac:dyDescent="0.25">
      <c r="A865" s="442" t="s">
        <v>112</v>
      </c>
      <c r="B865" s="442"/>
      <c r="C865" s="442"/>
      <c r="D865" s="442"/>
      <c r="E865" s="442"/>
      <c r="F865" s="442"/>
      <c r="G865" s="442"/>
      <c r="H865" s="442"/>
      <c r="I865" s="442"/>
      <c r="J865" s="442"/>
    </row>
    <row r="866" spans="1:12" x14ac:dyDescent="0.25">
      <c r="A866" s="443" t="s">
        <v>113</v>
      </c>
      <c r="B866" s="443"/>
      <c r="C866" s="443"/>
      <c r="D866" s="443"/>
      <c r="E866" s="223" t="s">
        <v>114</v>
      </c>
      <c r="F866" s="223" t="s">
        <v>115</v>
      </c>
      <c r="G866" s="234" t="s">
        <v>116</v>
      </c>
      <c r="H866" s="223" t="s">
        <v>91</v>
      </c>
      <c r="I866" s="223" t="s">
        <v>92</v>
      </c>
      <c r="J866" s="213"/>
    </row>
    <row r="867" spans="1:12" x14ac:dyDescent="0.25">
      <c r="A867" s="444" t="s">
        <v>99</v>
      </c>
      <c r="B867" s="445"/>
      <c r="C867" s="446"/>
      <c r="D867" s="211">
        <v>1</v>
      </c>
      <c r="E867" s="235">
        <f>+IF(D867="","",VLOOKUP(A867,$L$4:$O$10,3,FALSE))</f>
        <v>142350</v>
      </c>
      <c r="F867" s="236">
        <f>+IF(D867="","",(VLOOKUP(A867,$L$4:$O$10,4,FALSE))+1)</f>
        <v>1.5821008628015805</v>
      </c>
      <c r="G867" s="219">
        <f>+IFERROR(F867*E867*D867,"")</f>
        <v>225212.05781980499</v>
      </c>
      <c r="H867" s="216">
        <v>10</v>
      </c>
      <c r="I867" s="217">
        <f>IFERROR(G867/H867,"")</f>
        <v>22521.205781980498</v>
      </c>
      <c r="J867" s="213"/>
    </row>
    <row r="868" spans="1:12" ht="13.35" customHeight="1" x14ac:dyDescent="0.25">
      <c r="A868" s="444" t="s">
        <v>93</v>
      </c>
      <c r="B868" s="445"/>
      <c r="C868" s="446"/>
      <c r="D868" s="211">
        <v>2</v>
      </c>
      <c r="E868" s="235">
        <f>+IF(D868="","",VLOOKUP(A868,$L$4:$O$10,3,FALSE))</f>
        <v>77842</v>
      </c>
      <c r="F868" s="236">
        <f>+IF(D868="","",(VLOOKUP(A868,$L$4:$O$10,4,FALSE))+1)</f>
        <v>1.6752877632282406</v>
      </c>
      <c r="G868" s="219">
        <f>+IFERROR(F868*E868*D868,"")</f>
        <v>260815.50013042541</v>
      </c>
      <c r="H868" s="216">
        <f>+H867</f>
        <v>10</v>
      </c>
      <c r="I868" s="217">
        <f t="shared" ref="I868:I869" si="95">IFERROR(G868/H868,"")</f>
        <v>26081.550013042543</v>
      </c>
      <c r="J868" s="213"/>
    </row>
    <row r="869" spans="1:12" ht="13.35" customHeight="1" x14ac:dyDescent="0.25">
      <c r="A869" s="444"/>
      <c r="B869" s="445"/>
      <c r="C869" s="446"/>
      <c r="D869" s="211"/>
      <c r="E869" s="235" t="str">
        <f>+IF(D869="","",VLOOKUP(A869,$L$4:$O$10,3,FALSE))</f>
        <v/>
      </c>
      <c r="F869" s="236" t="str">
        <f>+IF(D869="","",(VLOOKUP(A869,$L$4:$O$10,4,FALSE))+1)</f>
        <v/>
      </c>
      <c r="G869" s="219" t="str">
        <f>+IFERROR(F869*E869*D869,"")</f>
        <v/>
      </c>
      <c r="H869" s="216"/>
      <c r="I869" s="217" t="str">
        <f t="shared" si="95"/>
        <v/>
      </c>
      <c r="J869" s="213"/>
    </row>
    <row r="870" spans="1:12" x14ac:dyDescent="0.25">
      <c r="A870" s="444"/>
      <c r="B870" s="445"/>
      <c r="C870" s="446"/>
      <c r="D870" s="213"/>
      <c r="E870" s="213"/>
      <c r="F870" s="213"/>
      <c r="G870" s="213"/>
      <c r="H870" s="211"/>
      <c r="I870" s="217"/>
      <c r="J870" s="213"/>
    </row>
    <row r="871" spans="1:12" ht="14.45" customHeight="1" x14ac:dyDescent="0.25">
      <c r="A871" s="437" t="s">
        <v>100</v>
      </c>
      <c r="B871" s="438"/>
      <c r="C871" s="438"/>
      <c r="D871" s="438"/>
      <c r="E871" s="438"/>
      <c r="F871" s="438"/>
      <c r="G871" s="438"/>
      <c r="H871" s="438"/>
      <c r="I871" s="439"/>
      <c r="J871" s="217">
        <f>SUM(I867:I870)</f>
        <v>48602.75579502304</v>
      </c>
    </row>
    <row r="872" spans="1:12" ht="13.35" customHeight="1" x14ac:dyDescent="0.25">
      <c r="A872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872" s="462"/>
      <c r="C872" s="462"/>
      <c r="D872" s="462"/>
      <c r="E872" s="462"/>
      <c r="F872" s="462"/>
      <c r="G872" s="462"/>
      <c r="H872" s="462"/>
      <c r="I872" s="462"/>
      <c r="J872" s="462"/>
    </row>
    <row r="873" spans="1:12" ht="33.4" customHeight="1" x14ac:dyDescent="0.25">
      <c r="A873" s="463"/>
      <c r="B873" s="463"/>
      <c r="C873" s="463"/>
      <c r="D873" s="463"/>
      <c r="E873" s="462"/>
      <c r="F873" s="462"/>
      <c r="G873" s="462"/>
      <c r="H873" s="462"/>
      <c r="I873" s="462"/>
      <c r="J873" s="462"/>
    </row>
    <row r="874" spans="1:12" ht="21.2" customHeight="1" x14ac:dyDescent="0.25">
      <c r="A874" s="196" t="s">
        <v>78</v>
      </c>
      <c r="B874" s="464" t="s">
        <v>79</v>
      </c>
      <c r="C874" s="464"/>
      <c r="D874" s="464"/>
      <c r="E874" s="464"/>
      <c r="F874" s="464"/>
      <c r="G874" s="464"/>
      <c r="H874" s="464"/>
      <c r="I874" s="197" t="s">
        <v>80</v>
      </c>
      <c r="J874" s="198" t="s">
        <v>81</v>
      </c>
    </row>
    <row r="875" spans="1:12" ht="14.25" customHeight="1" x14ac:dyDescent="0.25">
      <c r="A875" s="203">
        <v>7.07</v>
      </c>
      <c r="B875" s="465" t="e">
        <f>+VLOOKUP(A875,[46]PTO!$B$4:$D$28,2,FALSE)</f>
        <v>#N/A</v>
      </c>
      <c r="C875" s="466"/>
      <c r="D875" s="466"/>
      <c r="E875" s="466"/>
      <c r="F875" s="466"/>
      <c r="G875" s="466"/>
      <c r="H875" s="467"/>
      <c r="I875" s="204" t="e">
        <f>+VLOOKUP(A875,[46]PTO!$B$4:$D$28,3,FALSE)</f>
        <v>#N/A</v>
      </c>
      <c r="J875" s="205">
        <f>+ROUND(SUM(J883:J906),0)</f>
        <v>10078</v>
      </c>
      <c r="L875" s="232" t="e">
        <f>+VLOOKUP(A875,[46]PTO!$B$5:$E$385,5,FALSE)</f>
        <v>#N/A</v>
      </c>
    </row>
    <row r="876" spans="1:12" x14ac:dyDescent="0.25">
      <c r="A876" s="459" t="s">
        <v>87</v>
      </c>
      <c r="B876" s="459"/>
      <c r="C876" s="459"/>
      <c r="D876" s="459"/>
      <c r="E876" s="459"/>
      <c r="F876" s="459"/>
      <c r="G876" s="459"/>
      <c r="H876" s="459"/>
      <c r="I876" s="442"/>
      <c r="J876" s="442"/>
    </row>
    <row r="877" spans="1:12" x14ac:dyDescent="0.25">
      <c r="A877" s="460" t="s">
        <v>2</v>
      </c>
      <c r="B877" s="460"/>
      <c r="C877" s="460"/>
      <c r="D877" s="460"/>
      <c r="E877" s="460"/>
      <c r="F877" s="223" t="s">
        <v>89</v>
      </c>
      <c r="G877" s="234" t="s">
        <v>90</v>
      </c>
      <c r="H877" s="223" t="s">
        <v>91</v>
      </c>
      <c r="I877" s="223" t="s">
        <v>92</v>
      </c>
      <c r="J877" s="213"/>
    </row>
    <row r="878" spans="1:12" x14ac:dyDescent="0.25">
      <c r="A878" s="451" t="s">
        <v>95</v>
      </c>
      <c r="B878" s="451"/>
      <c r="C878" s="451"/>
      <c r="D878" s="451"/>
      <c r="E878" s="451"/>
      <c r="F878" s="214"/>
      <c r="G878" s="215">
        <v>0.05</v>
      </c>
      <c r="H878" s="216"/>
      <c r="I878" s="217">
        <f>+J906*G878</f>
        <v>149.09718365356235</v>
      </c>
      <c r="J878" s="213"/>
    </row>
    <row r="879" spans="1:12" x14ac:dyDescent="0.25">
      <c r="A879" s="461"/>
      <c r="B879" s="461"/>
      <c r="C879" s="461"/>
      <c r="D879" s="461"/>
      <c r="E879" s="461"/>
      <c r="F879" s="224" t="str">
        <f>+IF(A879="","",VLOOKUP(A879,[46]MATERIALES!$B$7:$D$1222,2,FALSE))</f>
        <v/>
      </c>
      <c r="G879" s="225" t="str">
        <f>+IF(A879="","",VLOOKUP(A879,[46]MATERIALES!$B$7:$E$1222,3,FALSE))</f>
        <v/>
      </c>
      <c r="H879" s="238" t="str">
        <f>IF(A879="","",IFERROR(1/H902,""))</f>
        <v/>
      </c>
      <c r="I879" s="217" t="str">
        <f t="shared" ref="I879:I880" si="96">IFERROR(G879*H879,"")</f>
        <v/>
      </c>
      <c r="J879" s="213"/>
    </row>
    <row r="880" spans="1:12" x14ac:dyDescent="0.25">
      <c r="A880" s="451"/>
      <c r="B880" s="451"/>
      <c r="C880" s="451"/>
      <c r="D880" s="451"/>
      <c r="E880" s="451"/>
      <c r="F880" s="224" t="str">
        <f>+IF(A880="","",VLOOKUP(A880,[46]MATERIALES!$B$7:$D$1222,2,FALSE))</f>
        <v/>
      </c>
      <c r="G880" s="225" t="str">
        <f>+IF(A880="","",VLOOKUP(A880,[46]MATERIALES!$B$7:$E$1222,3,FALSE))</f>
        <v/>
      </c>
      <c r="H880" s="238" t="str">
        <f>IF(A880="","",IFERROR(1/H903,""))</f>
        <v/>
      </c>
      <c r="I880" s="217" t="str">
        <f t="shared" si="96"/>
        <v/>
      </c>
      <c r="J880" s="213"/>
    </row>
    <row r="881" spans="1:10" x14ac:dyDescent="0.25">
      <c r="A881" s="451"/>
      <c r="B881" s="451"/>
      <c r="C881" s="451"/>
      <c r="D881" s="451"/>
      <c r="E881" s="451"/>
      <c r="F881" s="214"/>
      <c r="G881" s="218"/>
      <c r="H881" s="238" t="str">
        <f>IF(A881="","",IFERROR(1/H902,""))</f>
        <v/>
      </c>
      <c r="I881" s="217"/>
      <c r="J881" s="213"/>
    </row>
    <row r="882" spans="1:10" x14ac:dyDescent="0.25">
      <c r="A882" s="451"/>
      <c r="B882" s="451"/>
      <c r="C882" s="451"/>
      <c r="D882" s="451"/>
      <c r="E882" s="451"/>
      <c r="F882" s="214"/>
      <c r="G882" s="218"/>
      <c r="H882" s="216"/>
      <c r="I882" s="217"/>
      <c r="J882" s="219"/>
    </row>
    <row r="883" spans="1:10" x14ac:dyDescent="0.25">
      <c r="A883" s="437" t="s">
        <v>100</v>
      </c>
      <c r="B883" s="438"/>
      <c r="C883" s="438"/>
      <c r="D883" s="438"/>
      <c r="E883" s="438"/>
      <c r="F883" s="438"/>
      <c r="G883" s="438"/>
      <c r="H883" s="438"/>
      <c r="I883" s="439"/>
      <c r="J883" s="217">
        <f>+SUM(I878:I882)</f>
        <v>149.09718365356235</v>
      </c>
    </row>
    <row r="884" spans="1:10" x14ac:dyDescent="0.25">
      <c r="A884" s="442" t="s">
        <v>101</v>
      </c>
      <c r="B884" s="442"/>
      <c r="C884" s="442"/>
      <c r="D884" s="442"/>
      <c r="E884" s="442"/>
      <c r="F884" s="442"/>
      <c r="G884" s="442"/>
      <c r="H884" s="442"/>
      <c r="I884" s="442"/>
      <c r="J884" s="442"/>
    </row>
    <row r="885" spans="1:10" x14ac:dyDescent="0.25">
      <c r="A885" s="452" t="s">
        <v>2</v>
      </c>
      <c r="B885" s="453"/>
      <c r="C885" s="453"/>
      <c r="D885" s="454"/>
      <c r="E885" s="223" t="s">
        <v>3</v>
      </c>
      <c r="F885" s="223" t="s">
        <v>102</v>
      </c>
      <c r="G885" s="223" t="s">
        <v>4</v>
      </c>
      <c r="H885" s="223" t="s">
        <v>103</v>
      </c>
      <c r="I885" s="223" t="s">
        <v>92</v>
      </c>
      <c r="J885" s="213"/>
    </row>
    <row r="886" spans="1:10" x14ac:dyDescent="0.25">
      <c r="A886" s="444" t="s">
        <v>151</v>
      </c>
      <c r="B886" s="445"/>
      <c r="C886" s="445"/>
      <c r="D886" s="445"/>
      <c r="E886" s="224" t="str">
        <f>+IF(A886="","",VLOOKUP(A886,[46]MATERIALES!$B$7:$D$225,2,FALSE))</f>
        <v>m2</v>
      </c>
      <c r="F886" s="225">
        <f>+IF(A886="","",VLOOKUP(A886,[46]MATERIALES!$B$7:$E$225,3,FALSE))</f>
        <v>25000</v>
      </c>
      <c r="G886" s="226">
        <v>0.1</v>
      </c>
      <c r="H886" s="227">
        <v>0.05</v>
      </c>
      <c r="I886" s="228">
        <f t="shared" ref="I886:I889" si="97">IFERROR((ROUND((F886*G886*(1+H886)),0)),"")</f>
        <v>2625</v>
      </c>
      <c r="J886" s="213"/>
    </row>
    <row r="887" spans="1:10" x14ac:dyDescent="0.25">
      <c r="A887" s="444" t="s">
        <v>152</v>
      </c>
      <c r="B887" s="445"/>
      <c r="C887" s="445"/>
      <c r="D887" s="445"/>
      <c r="E887" s="224" t="str">
        <f>+IF(A887="","",VLOOKUP(A887,[46]MATERIALES!$B$7:$D$225,2,FALSE))</f>
        <v>Bulto</v>
      </c>
      <c r="F887" s="225">
        <f>+IF(A887="","",VLOOKUP(A887,[46]MATERIALES!$B$7:$E$225,3,FALSE))</f>
        <v>14900</v>
      </c>
      <c r="G887" s="226">
        <f>2.23*0.1</f>
        <v>0.223</v>
      </c>
      <c r="H887" s="227">
        <v>0.05</v>
      </c>
      <c r="I887" s="228">
        <f t="shared" si="97"/>
        <v>3489</v>
      </c>
      <c r="J887" s="213"/>
    </row>
    <row r="888" spans="1:10" x14ac:dyDescent="0.25">
      <c r="A888" s="444"/>
      <c r="B888" s="445"/>
      <c r="C888" s="445"/>
      <c r="D888" s="445"/>
      <c r="E888" s="224" t="str">
        <f>+IF(A888="","",VLOOKUP(A888,[46]MATERIALES!$B$7:$D$225,2,FALSE))</f>
        <v/>
      </c>
      <c r="F888" s="225" t="str">
        <f>+IF(A888="","",VLOOKUP(A888,[46]MATERIALES!$B$7:$E$225,3,FALSE))</f>
        <v/>
      </c>
      <c r="G888" s="238"/>
      <c r="H888" s="227"/>
      <c r="I888" s="228" t="str">
        <f t="shared" si="97"/>
        <v/>
      </c>
      <c r="J888" s="213"/>
    </row>
    <row r="889" spans="1:10" x14ac:dyDescent="0.25">
      <c r="A889" s="444"/>
      <c r="B889" s="445"/>
      <c r="C889" s="445"/>
      <c r="D889" s="445"/>
      <c r="E889" s="224" t="str">
        <f>+IF(A889="","",VLOOKUP(A889,[46]MATERIALES!$B$7:$D$225,2,FALSE))</f>
        <v/>
      </c>
      <c r="F889" s="225" t="str">
        <f>+IF(A889="","",VLOOKUP(A889,[46]MATERIALES!$B$7:$E$225,3,FALSE))</f>
        <v/>
      </c>
      <c r="G889" s="226"/>
      <c r="H889" s="227"/>
      <c r="I889" s="228" t="str">
        <f t="shared" si="97"/>
        <v/>
      </c>
      <c r="J889" s="213"/>
    </row>
    <row r="890" spans="1:10" x14ac:dyDescent="0.25">
      <c r="A890" s="444"/>
      <c r="B890" s="445"/>
      <c r="C890" s="445"/>
      <c r="D890" s="445"/>
      <c r="E890" s="224" t="str">
        <f>+IF(A890="","",VLOOKUP(A890,[46]MATERIALES!$B$7:$D$225,2,FALSE))</f>
        <v/>
      </c>
      <c r="F890" s="225" t="str">
        <f>+IF(A890="","",VLOOKUP(A890,[46]MATERIALES!$B$7:$E$225,3,FALSE))</f>
        <v/>
      </c>
      <c r="G890" s="226"/>
      <c r="H890" s="227"/>
      <c r="I890" s="217" t="str">
        <f t="shared" ref="I890" si="98">IFERROR(F890*G890*(1+H890),"")</f>
        <v/>
      </c>
      <c r="J890" s="213"/>
    </row>
    <row r="891" spans="1:10" x14ac:dyDescent="0.25">
      <c r="A891" s="444"/>
      <c r="B891" s="445"/>
      <c r="C891" s="445"/>
      <c r="D891" s="445"/>
      <c r="E891" s="224" t="str">
        <f>+IF(A891="","",VLOOKUP(A891,[46]MATERIALES!$B$7:$D$225,2,FALSE))</f>
        <v/>
      </c>
      <c r="F891" s="225" t="str">
        <f>+IF(A891="","",VLOOKUP(A891,[46]MATERIALES!$B$7:$E$225,3,FALSE))</f>
        <v/>
      </c>
      <c r="G891" s="226"/>
      <c r="H891" s="227"/>
      <c r="I891" s="217" t="str">
        <f>IFERROR(F891*G891*(1+H891),"")</f>
        <v/>
      </c>
      <c r="J891" s="213"/>
    </row>
    <row r="892" spans="1:10" x14ac:dyDescent="0.25">
      <c r="A892" s="437" t="s">
        <v>100</v>
      </c>
      <c r="B892" s="438"/>
      <c r="C892" s="438"/>
      <c r="D892" s="438"/>
      <c r="E892" s="438"/>
      <c r="F892" s="438"/>
      <c r="G892" s="438"/>
      <c r="H892" s="438"/>
      <c r="I892" s="439"/>
      <c r="J892" s="217">
        <f>SUM(I886:I891)</f>
        <v>6114</v>
      </c>
    </row>
    <row r="893" spans="1:10" x14ac:dyDescent="0.25">
      <c r="A893" s="442" t="s">
        <v>106</v>
      </c>
      <c r="B893" s="442"/>
      <c r="C893" s="442"/>
      <c r="D893" s="442"/>
      <c r="E893" s="442"/>
      <c r="F893" s="442"/>
      <c r="G893" s="442"/>
      <c r="H893" s="442"/>
      <c r="I893" s="442"/>
      <c r="J893" s="442"/>
    </row>
    <row r="894" spans="1:10" ht="22.5" x14ac:dyDescent="0.25">
      <c r="A894" s="443" t="s">
        <v>107</v>
      </c>
      <c r="B894" s="443"/>
      <c r="C894" s="443"/>
      <c r="D894" s="443"/>
      <c r="E894" s="223" t="s">
        <v>108</v>
      </c>
      <c r="F894" s="230" t="s">
        <v>109</v>
      </c>
      <c r="G894" s="223" t="s">
        <v>110</v>
      </c>
      <c r="H894" s="223" t="s">
        <v>111</v>
      </c>
      <c r="I894" s="223" t="s">
        <v>92</v>
      </c>
      <c r="J894" s="213"/>
    </row>
    <row r="895" spans="1:10" x14ac:dyDescent="0.25">
      <c r="A895" s="447" t="s">
        <v>133</v>
      </c>
      <c r="B895" s="447"/>
      <c r="C895" s="447"/>
      <c r="D895" s="447"/>
      <c r="E895" s="216" t="str">
        <f>+IF(A895="","",VLOOKUP(A895,[46]MATERIALES!$B$7:$E$1222,2,FALSE))</f>
        <v>m3/km</v>
      </c>
      <c r="F895" s="224">
        <v>0.01</v>
      </c>
      <c r="G895" s="231">
        <f>+IF(A895="","",VLOOKUP(A895,[46]MATERIALES!$B$7:$E$1222,4,FALSE))</f>
        <v>9.6</v>
      </c>
      <c r="H895" s="216">
        <f>+IF(A895="","",VLOOKUP(A895,[46]MATERIALES!$B$7:$E$1222,3,FALSE))</f>
        <v>8681</v>
      </c>
      <c r="I895" s="217">
        <f>IFERROR(G895*H895*F895,"")</f>
        <v>833.37599999999998</v>
      </c>
      <c r="J895" s="213"/>
    </row>
    <row r="896" spans="1:10" x14ac:dyDescent="0.25">
      <c r="A896" s="447"/>
      <c r="B896" s="447"/>
      <c r="C896" s="447"/>
      <c r="D896" s="447"/>
      <c r="E896" s="216" t="str">
        <f>+IF(A896="","",VLOOKUP(A896,[46]MATERIALES!$B$7:$E$1222,2,FALSE))</f>
        <v/>
      </c>
      <c r="F896" s="224"/>
      <c r="G896" s="231" t="str">
        <f>+IF(A896="","",VLOOKUP(A896,[46]MATERIALES!$B$7:$E$1222,4,FALSE))</f>
        <v/>
      </c>
      <c r="H896" s="216" t="str">
        <f>+IF(A896="","",VLOOKUP(A896,[46]MATERIALES!$B$7:$E$1222,3,FALSE))</f>
        <v/>
      </c>
      <c r="I896" s="217" t="str">
        <f>IFERROR(G896*H896*F896,"")</f>
        <v/>
      </c>
      <c r="J896" s="213"/>
    </row>
    <row r="897" spans="1:12" x14ac:dyDescent="0.25">
      <c r="A897" s="447"/>
      <c r="B897" s="447"/>
      <c r="C897" s="447"/>
      <c r="D897" s="447"/>
      <c r="E897" s="213"/>
      <c r="F897" s="214"/>
      <c r="G897" s="233"/>
      <c r="H897" s="216"/>
      <c r="I897" s="219"/>
      <c r="J897" s="213"/>
    </row>
    <row r="898" spans="1:12" x14ac:dyDescent="0.25">
      <c r="A898" s="447"/>
      <c r="B898" s="447"/>
      <c r="C898" s="447"/>
      <c r="D898" s="447"/>
      <c r="E898" s="213"/>
      <c r="F898" s="213"/>
      <c r="G898" s="213"/>
      <c r="H898" s="211"/>
      <c r="I898" s="213"/>
      <c r="J898" s="213"/>
    </row>
    <row r="899" spans="1:12" x14ac:dyDescent="0.25">
      <c r="A899" s="437" t="s">
        <v>100</v>
      </c>
      <c r="B899" s="438"/>
      <c r="C899" s="438"/>
      <c r="D899" s="438"/>
      <c r="E899" s="438"/>
      <c r="F899" s="438"/>
      <c r="G899" s="438"/>
      <c r="H899" s="438"/>
      <c r="I899" s="439"/>
      <c r="J899" s="217">
        <f>SUM(I895:I898)</f>
        <v>833.37599999999998</v>
      </c>
    </row>
    <row r="900" spans="1:12" x14ac:dyDescent="0.25">
      <c r="A900" s="442" t="s">
        <v>112</v>
      </c>
      <c r="B900" s="442"/>
      <c r="C900" s="442"/>
      <c r="D900" s="442"/>
      <c r="E900" s="442"/>
      <c r="F900" s="442"/>
      <c r="G900" s="442"/>
      <c r="H900" s="442"/>
      <c r="I900" s="442"/>
      <c r="J900" s="442"/>
    </row>
    <row r="901" spans="1:12" x14ac:dyDescent="0.25">
      <c r="A901" s="443" t="s">
        <v>113</v>
      </c>
      <c r="B901" s="443"/>
      <c r="C901" s="443"/>
      <c r="D901" s="443"/>
      <c r="E901" s="223" t="s">
        <v>114</v>
      </c>
      <c r="F901" s="223" t="s">
        <v>115</v>
      </c>
      <c r="G901" s="234" t="s">
        <v>116</v>
      </c>
      <c r="H901" s="223" t="s">
        <v>91</v>
      </c>
      <c r="I901" s="223" t="s">
        <v>92</v>
      </c>
      <c r="J901" s="213"/>
    </row>
    <row r="902" spans="1:12" x14ac:dyDescent="0.25">
      <c r="A902" s="444" t="s">
        <v>97</v>
      </c>
      <c r="B902" s="445"/>
      <c r="C902" s="446"/>
      <c r="D902" s="211">
        <v>1</v>
      </c>
      <c r="E902" s="235">
        <f>+IF(D902="","",VLOOKUP(A902,$L$4:$O$10,3,FALSE))</f>
        <v>101567</v>
      </c>
      <c r="F902" s="236">
        <f>+IF(D902="","",(VLOOKUP(A902,$L$4:$O$10,4,FALSE))+1)</f>
        <v>1.6519796512835072</v>
      </c>
      <c r="G902" s="219">
        <f>+IFERROR(F902*E902*D902,"")</f>
        <v>167786.61724191197</v>
      </c>
      <c r="H902" s="216">
        <v>100</v>
      </c>
      <c r="I902" s="217">
        <f>IFERROR(G902/H902,"")</f>
        <v>1677.8661724191197</v>
      </c>
      <c r="J902" s="213"/>
    </row>
    <row r="903" spans="1:12" ht="13.35" customHeight="1" x14ac:dyDescent="0.25">
      <c r="A903" s="444" t="s">
        <v>93</v>
      </c>
      <c r="B903" s="445"/>
      <c r="C903" s="446"/>
      <c r="D903" s="211">
        <v>1</v>
      </c>
      <c r="E903" s="235">
        <f>+IF(D903="","",VLOOKUP(A903,$L$4:$O$10,3,FALSE))</f>
        <v>77842</v>
      </c>
      <c r="F903" s="236">
        <f>+IF(D903="","",(VLOOKUP(A903,$L$4:$O$10,4,FALSE))+1)</f>
        <v>1.6752877632282406</v>
      </c>
      <c r="G903" s="219">
        <f>+IFERROR(F903*E903*D903,"")</f>
        <v>130407.75006521271</v>
      </c>
      <c r="H903" s="216">
        <f>+H902</f>
        <v>100</v>
      </c>
      <c r="I903" s="217">
        <f t="shared" ref="I903:I904" si="99">IFERROR(G903/H903,"")</f>
        <v>1304.0775006521271</v>
      </c>
      <c r="J903" s="213"/>
    </row>
    <row r="904" spans="1:12" ht="13.35" customHeight="1" x14ac:dyDescent="0.25">
      <c r="A904" s="444"/>
      <c r="B904" s="445"/>
      <c r="C904" s="446"/>
      <c r="D904" s="211"/>
      <c r="E904" s="235" t="str">
        <f>+IF(D904="","",VLOOKUP(A904,$L$4:$O$10,3,FALSE))</f>
        <v/>
      </c>
      <c r="F904" s="236" t="str">
        <f>+IF(D904="","",(VLOOKUP(A904,$L$4:$O$10,4,FALSE))+1)</f>
        <v/>
      </c>
      <c r="G904" s="219" t="str">
        <f>+IFERROR(F904*E904*D904,"")</f>
        <v/>
      </c>
      <c r="H904" s="216"/>
      <c r="I904" s="217" t="str">
        <f t="shared" si="99"/>
        <v/>
      </c>
      <c r="J904" s="213"/>
    </row>
    <row r="905" spans="1:12" x14ac:dyDescent="0.25">
      <c r="A905" s="444"/>
      <c r="B905" s="445"/>
      <c r="C905" s="446"/>
      <c r="D905" s="213"/>
      <c r="E905" s="213"/>
      <c r="F905" s="213"/>
      <c r="G905" s="213"/>
      <c r="H905" s="211"/>
      <c r="I905" s="217"/>
      <c r="J905" s="213"/>
    </row>
    <row r="906" spans="1:12" ht="14.45" customHeight="1" x14ac:dyDescent="0.25">
      <c r="A906" s="437" t="s">
        <v>100</v>
      </c>
      <c r="B906" s="438"/>
      <c r="C906" s="438"/>
      <c r="D906" s="438"/>
      <c r="E906" s="438"/>
      <c r="F906" s="438"/>
      <c r="G906" s="438"/>
      <c r="H906" s="438"/>
      <c r="I906" s="439"/>
      <c r="J906" s="217">
        <f>SUM(I902:I905)</f>
        <v>2981.9436730712468</v>
      </c>
    </row>
    <row r="907" spans="1:12" ht="13.35" customHeight="1" x14ac:dyDescent="0.25">
      <c r="A907" s="462" t="str">
        <f>+$A$34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B907" s="462"/>
      <c r="C907" s="462"/>
      <c r="D907" s="462"/>
      <c r="E907" s="462"/>
      <c r="F907" s="462"/>
      <c r="G907" s="462"/>
      <c r="H907" s="462"/>
      <c r="I907" s="462"/>
      <c r="J907" s="462"/>
    </row>
    <row r="908" spans="1:12" ht="56.45" customHeight="1" x14ac:dyDescent="0.25">
      <c r="A908" s="463"/>
      <c r="B908" s="463"/>
      <c r="C908" s="463"/>
      <c r="D908" s="463"/>
      <c r="E908" s="462"/>
      <c r="F908" s="462"/>
      <c r="G908" s="462"/>
      <c r="H908" s="462"/>
      <c r="I908" s="462"/>
      <c r="J908" s="462"/>
    </row>
    <row r="909" spans="1:12" ht="12.2" customHeight="1" x14ac:dyDescent="0.25">
      <c r="A909" s="196" t="s">
        <v>78</v>
      </c>
      <c r="B909" s="464" t="s">
        <v>79</v>
      </c>
      <c r="C909" s="464"/>
      <c r="D909" s="464"/>
      <c r="E909" s="464"/>
      <c r="F909" s="464"/>
      <c r="G909" s="464"/>
      <c r="H909" s="464"/>
      <c r="I909" s="197" t="s">
        <v>80</v>
      </c>
      <c r="J909" s="198" t="s">
        <v>81</v>
      </c>
    </row>
    <row r="910" spans="1:12" ht="21.2" customHeight="1" x14ac:dyDescent="0.25">
      <c r="A910" s="203">
        <v>7.07</v>
      </c>
      <c r="B910" s="465" t="e">
        <f>+VLOOKUP(A910,[46]PTO!$B$4:$D$28,2,FALSE)</f>
        <v>#N/A</v>
      </c>
      <c r="C910" s="466"/>
      <c r="D910" s="466"/>
      <c r="E910" s="466"/>
      <c r="F910" s="466"/>
      <c r="G910" s="466"/>
      <c r="H910" s="467"/>
      <c r="I910" s="204" t="e">
        <f>+VLOOKUP(A910,[46]PTO!$B$4:$D$28,3,FALSE)</f>
        <v>#N/A</v>
      </c>
      <c r="J910" s="205">
        <f>+ROUND(SUM(J918:J941),0)</f>
        <v>696320</v>
      </c>
      <c r="L910" s="232" t="e">
        <f>+VLOOKUP(A910,[46]PTO!$B$5:$E$385,5,FALSE)</f>
        <v>#N/A</v>
      </c>
    </row>
    <row r="911" spans="1:12" x14ac:dyDescent="0.25">
      <c r="A911" s="459" t="s">
        <v>87</v>
      </c>
      <c r="B911" s="459"/>
      <c r="C911" s="459"/>
      <c r="D911" s="459"/>
      <c r="E911" s="459"/>
      <c r="F911" s="459"/>
      <c r="G911" s="459"/>
      <c r="H911" s="459"/>
      <c r="I911" s="442"/>
      <c r="J911" s="442"/>
    </row>
    <row r="912" spans="1:12" x14ac:dyDescent="0.25">
      <c r="A912" s="460" t="s">
        <v>2</v>
      </c>
      <c r="B912" s="460"/>
      <c r="C912" s="460"/>
      <c r="D912" s="460"/>
      <c r="E912" s="460"/>
      <c r="F912" s="223" t="s">
        <v>89</v>
      </c>
      <c r="G912" s="234" t="s">
        <v>90</v>
      </c>
      <c r="H912" s="223" t="s">
        <v>91</v>
      </c>
      <c r="I912" s="223" t="s">
        <v>92</v>
      </c>
      <c r="J912" s="213"/>
      <c r="L912" s="255"/>
    </row>
    <row r="913" spans="1:10" x14ac:dyDescent="0.25">
      <c r="A913" s="451" t="s">
        <v>95</v>
      </c>
      <c r="B913" s="451"/>
      <c r="C913" s="451"/>
      <c r="D913" s="451"/>
      <c r="E913" s="451"/>
      <c r="F913" s="214"/>
      <c r="G913" s="215">
        <v>0.05</v>
      </c>
      <c r="H913" s="216"/>
      <c r="I913" s="217">
        <f>+J940*G913</f>
        <v>5642.6391594277775</v>
      </c>
      <c r="J913" s="213"/>
    </row>
    <row r="914" spans="1:10" x14ac:dyDescent="0.25">
      <c r="A914" s="461"/>
      <c r="B914" s="461"/>
      <c r="C914" s="461"/>
      <c r="D914" s="461"/>
      <c r="E914" s="461"/>
      <c r="F914" s="224" t="str">
        <f>+IF(A914="","",VLOOKUP(A914,[46]MATERIALES!$B$7:$D$1222,2,FALSE))</f>
        <v/>
      </c>
      <c r="G914" s="225" t="str">
        <f>+IF(A914="","",VLOOKUP(A914,[46]MATERIALES!$B$7:$E$1222,3,FALSE))</f>
        <v/>
      </c>
      <c r="H914" s="238"/>
      <c r="I914" s="217" t="str">
        <f t="shared" ref="I914:I915" si="100">IFERROR(G914*H914,"")</f>
        <v/>
      </c>
      <c r="J914" s="213"/>
    </row>
    <row r="915" spans="1:10" x14ac:dyDescent="0.25">
      <c r="A915" s="451"/>
      <c r="B915" s="451"/>
      <c r="C915" s="451"/>
      <c r="D915" s="451"/>
      <c r="E915" s="451"/>
      <c r="F915" s="224" t="str">
        <f>+IF(A915="","",VLOOKUP(A915,[46]MATERIALES!$B$7:$D$1222,2,FALSE))</f>
        <v/>
      </c>
      <c r="G915" s="225" t="str">
        <f>+IF(A915="","",VLOOKUP(A915,[46]MATERIALES!$B$7:$E$1222,3,FALSE))</f>
        <v/>
      </c>
      <c r="H915" s="238"/>
      <c r="I915" s="217" t="str">
        <f t="shared" si="100"/>
        <v/>
      </c>
      <c r="J915" s="213"/>
    </row>
    <row r="916" spans="1:10" x14ac:dyDescent="0.25">
      <c r="A916" s="451"/>
      <c r="B916" s="451"/>
      <c r="C916" s="451"/>
      <c r="D916" s="451"/>
      <c r="E916" s="451"/>
      <c r="F916" s="214"/>
      <c r="G916" s="218"/>
      <c r="H916" s="216"/>
      <c r="I916" s="217"/>
      <c r="J916" s="213"/>
    </row>
    <row r="917" spans="1:10" x14ac:dyDescent="0.25">
      <c r="A917" s="451"/>
      <c r="B917" s="451"/>
      <c r="C917" s="451"/>
      <c r="D917" s="451"/>
      <c r="E917" s="451"/>
      <c r="F917" s="214"/>
      <c r="G917" s="218"/>
      <c r="H917" s="216"/>
      <c r="I917" s="217"/>
      <c r="J917" s="219"/>
    </row>
    <row r="918" spans="1:10" x14ac:dyDescent="0.25">
      <c r="A918" s="437" t="s">
        <v>100</v>
      </c>
      <c r="B918" s="438"/>
      <c r="C918" s="438"/>
      <c r="D918" s="438"/>
      <c r="E918" s="438"/>
      <c r="F918" s="438"/>
      <c r="G918" s="438"/>
      <c r="H918" s="438"/>
      <c r="I918" s="439"/>
      <c r="J918" s="217">
        <f>+SUM(I913:I917)</f>
        <v>5642.6391594277775</v>
      </c>
    </row>
    <row r="919" spans="1:10" x14ac:dyDescent="0.25">
      <c r="A919" s="442" t="s">
        <v>101</v>
      </c>
      <c r="B919" s="442"/>
      <c r="C919" s="442"/>
      <c r="D919" s="442"/>
      <c r="E919" s="442"/>
      <c r="F919" s="442"/>
      <c r="G919" s="442"/>
      <c r="H919" s="442"/>
      <c r="I919" s="442"/>
      <c r="J919" s="442"/>
    </row>
    <row r="920" spans="1:10" x14ac:dyDescent="0.25">
      <c r="A920" s="452" t="s">
        <v>2</v>
      </c>
      <c r="B920" s="453"/>
      <c r="C920" s="453"/>
      <c r="D920" s="454"/>
      <c r="E920" s="223" t="s">
        <v>3</v>
      </c>
      <c r="F920" s="223" t="s">
        <v>102</v>
      </c>
      <c r="G920" s="223" t="s">
        <v>4</v>
      </c>
      <c r="H920" s="223" t="s">
        <v>103</v>
      </c>
      <c r="I920" s="223" t="s">
        <v>92</v>
      </c>
      <c r="J920" s="213"/>
    </row>
    <row r="921" spans="1:10" x14ac:dyDescent="0.25">
      <c r="A921" s="444" t="s">
        <v>153</v>
      </c>
      <c r="B921" s="445"/>
      <c r="C921" s="445"/>
      <c r="D921" s="445"/>
      <c r="E921" s="224" t="str">
        <f>+IF(A921="","",VLOOKUP(A921,[46]MATERIALES!$B$7:$D$225,2,FALSE))</f>
        <v>un</v>
      </c>
      <c r="F921" s="225">
        <f>+IF(A921="","",VLOOKUP(A921,[46]MATERIALES!$B$7:$E$225,3,FALSE))</f>
        <v>10500</v>
      </c>
      <c r="G921" s="226">
        <v>6</v>
      </c>
      <c r="H921" s="227"/>
      <c r="I921" s="228">
        <f t="shared" ref="I921:I923" si="101">IFERROR((ROUND((F921*G921*(1+H921)),0)),"")</f>
        <v>63000</v>
      </c>
      <c r="J921" s="213"/>
    </row>
    <row r="922" spans="1:10" x14ac:dyDescent="0.25">
      <c r="A922" s="444" t="s">
        <v>154</v>
      </c>
      <c r="B922" s="445"/>
      <c r="C922" s="445"/>
      <c r="D922" s="445"/>
      <c r="E922" s="224" t="str">
        <f>+IF(A922="","",VLOOKUP(A922,[46]MATERIALES!$B$7:$D$225,2,FALSE))</f>
        <v>un</v>
      </c>
      <c r="F922" s="225">
        <f>+IF(A922="","",VLOOKUP(A922,[46]MATERIALES!$B$7:$E$225,3,FALSE))</f>
        <v>29265</v>
      </c>
      <c r="G922" s="226">
        <v>5</v>
      </c>
      <c r="H922" s="227"/>
      <c r="I922" s="228">
        <f t="shared" si="101"/>
        <v>146325</v>
      </c>
      <c r="J922" s="213"/>
    </row>
    <row r="923" spans="1:10" x14ac:dyDescent="0.25">
      <c r="A923" s="444" t="s">
        <v>155</v>
      </c>
      <c r="B923" s="445"/>
      <c r="C923" s="445"/>
      <c r="D923" s="445"/>
      <c r="E923" s="224" t="str">
        <f>+IF(A923="","",VLOOKUP(A923,[46]MATERIALES!$B$7:$D$225,2,FALSE))</f>
        <v>un</v>
      </c>
      <c r="F923" s="225">
        <f>+IF(A923="","",VLOOKUP(A923,[46]MATERIALES!$B$7:$E$225,3,FALSE))</f>
        <v>1000</v>
      </c>
      <c r="G923" s="226">
        <v>50</v>
      </c>
      <c r="H923" s="227"/>
      <c r="I923" s="228">
        <f t="shared" si="101"/>
        <v>50000</v>
      </c>
      <c r="J923" s="213"/>
    </row>
    <row r="924" spans="1:10" x14ac:dyDescent="0.25">
      <c r="A924" s="444" t="s">
        <v>156</v>
      </c>
      <c r="B924" s="445"/>
      <c r="C924" s="445"/>
      <c r="D924" s="445"/>
      <c r="E924" s="224" t="str">
        <f>+IF(A924="","",VLOOKUP(A924,[46]MATERIALES!$B$7:$D$225,2,FALSE))</f>
        <v>UN</v>
      </c>
      <c r="F924" s="225">
        <f>+IF(A924="","",VLOOKUP(A924,[46]MATERIALES!$B$7:$E$225,3,FALSE))</f>
        <v>20000</v>
      </c>
      <c r="G924" s="226">
        <f>+G922</f>
        <v>5</v>
      </c>
      <c r="H924" s="227"/>
      <c r="I924" s="217">
        <f t="shared" ref="I924" si="102">IFERROR(F924*G924*(1+H924),"")</f>
        <v>100000</v>
      </c>
      <c r="J924" s="213"/>
    </row>
    <row r="925" spans="1:10" x14ac:dyDescent="0.25">
      <c r="A925" s="444" t="s">
        <v>157</v>
      </c>
      <c r="B925" s="445"/>
      <c r="C925" s="445"/>
      <c r="D925" s="445"/>
      <c r="E925" s="224" t="str">
        <f>+IF(A925="","",VLOOKUP(A925,[46]MATERIALES!$B$7:$D$225,2,FALSE))</f>
        <v>un</v>
      </c>
      <c r="F925" s="225">
        <f>+IF(A925="","",VLOOKUP(A925,[46]MATERIALES!$B$7:$E$225,3,FALSE))</f>
        <v>20500</v>
      </c>
      <c r="G925" s="226">
        <v>10</v>
      </c>
      <c r="H925" s="227"/>
      <c r="I925" s="217">
        <f>IFERROR(F925*G925*(1+H925),"")</f>
        <v>205000</v>
      </c>
      <c r="J925" s="213"/>
    </row>
    <row r="926" spans="1:10" x14ac:dyDescent="0.25">
      <c r="A926" s="437" t="s">
        <v>100</v>
      </c>
      <c r="B926" s="438"/>
      <c r="C926" s="438"/>
      <c r="D926" s="438"/>
      <c r="E926" s="438"/>
      <c r="F926" s="438"/>
      <c r="G926" s="438"/>
      <c r="H926" s="438"/>
      <c r="I926" s="439"/>
      <c r="J926" s="217">
        <f>SUM(I921:I925)</f>
        <v>564325</v>
      </c>
    </row>
    <row r="927" spans="1:10" x14ac:dyDescent="0.25">
      <c r="A927" s="442" t="s">
        <v>106</v>
      </c>
      <c r="B927" s="442"/>
      <c r="C927" s="442"/>
      <c r="D927" s="442"/>
      <c r="E927" s="442"/>
      <c r="F927" s="442"/>
      <c r="G927" s="442"/>
      <c r="H927" s="442"/>
      <c r="I927" s="442"/>
      <c r="J927" s="442"/>
    </row>
    <row r="928" spans="1:10" ht="22.5" x14ac:dyDescent="0.25">
      <c r="A928" s="443" t="s">
        <v>107</v>
      </c>
      <c r="B928" s="443"/>
      <c r="C928" s="443"/>
      <c r="D928" s="443"/>
      <c r="E928" s="223" t="s">
        <v>108</v>
      </c>
      <c r="F928" s="230" t="s">
        <v>109</v>
      </c>
      <c r="G928" s="223" t="s">
        <v>110</v>
      </c>
      <c r="H928" s="223" t="s">
        <v>111</v>
      </c>
      <c r="I928" s="223" t="s">
        <v>92</v>
      </c>
      <c r="J928" s="213"/>
    </row>
    <row r="929" spans="1:10" x14ac:dyDescent="0.25">
      <c r="A929" s="447" t="s">
        <v>140</v>
      </c>
      <c r="B929" s="447"/>
      <c r="C929" s="447"/>
      <c r="D929" s="447"/>
      <c r="E929" s="216" t="str">
        <f>+IF(A929="","",VLOOKUP(A929,[46]MATERIALES!$B$7:$E$1222,2,FALSE))</f>
        <v>M3</v>
      </c>
      <c r="F929" s="224">
        <v>0.3</v>
      </c>
      <c r="G929" s="231">
        <f>+IF(A929="","",VLOOKUP(A929,[46]MATERIALES!$B$7:$E$1222,4,FALSE))</f>
        <v>3</v>
      </c>
      <c r="H929" s="216">
        <f>+IF(A929="","",VLOOKUP(A929,[46]MATERIALES!$B$7:$E$1222,3,FALSE))</f>
        <v>15000</v>
      </c>
      <c r="I929" s="217">
        <f>IFERROR(G929*H929*F929,"")</f>
        <v>13500</v>
      </c>
      <c r="J929" s="213"/>
    </row>
    <row r="930" spans="1:10" x14ac:dyDescent="0.25">
      <c r="A930" s="447"/>
      <c r="B930" s="447"/>
      <c r="C930" s="447"/>
      <c r="D930" s="447"/>
      <c r="E930" s="216" t="str">
        <f>+IF(A930="","",VLOOKUP(A930,[46]MATERIALES!$B$7:$E$1222,2,FALSE))</f>
        <v/>
      </c>
      <c r="F930" s="224"/>
      <c r="G930" s="231" t="str">
        <f>+IF(A930="","",VLOOKUP(A930,[46]MATERIALES!$B$7:$E$1222,4,FALSE))</f>
        <v/>
      </c>
      <c r="H930" s="216" t="str">
        <f>+IF(A930="","",VLOOKUP(A930,[46]MATERIALES!$B$7:$E$1222,3,FALSE))</f>
        <v/>
      </c>
      <c r="I930" s="217" t="str">
        <f>IFERROR(G930*H930*F930,"")</f>
        <v/>
      </c>
      <c r="J930" s="213"/>
    </row>
    <row r="931" spans="1:10" x14ac:dyDescent="0.25">
      <c r="A931" s="447"/>
      <c r="B931" s="447"/>
      <c r="C931" s="447"/>
      <c r="D931" s="447"/>
      <c r="E931" s="213"/>
      <c r="F931" s="214"/>
      <c r="G931" s="233"/>
      <c r="H931" s="216"/>
      <c r="I931" s="219"/>
      <c r="J931" s="213"/>
    </row>
    <row r="932" spans="1:10" x14ac:dyDescent="0.25">
      <c r="A932" s="447"/>
      <c r="B932" s="447"/>
      <c r="C932" s="447"/>
      <c r="D932" s="447"/>
      <c r="E932" s="213"/>
      <c r="F932" s="213"/>
      <c r="G932" s="213"/>
      <c r="H932" s="211"/>
      <c r="I932" s="213"/>
      <c r="J932" s="213"/>
    </row>
    <row r="933" spans="1:10" x14ac:dyDescent="0.25">
      <c r="A933" s="437" t="s">
        <v>100</v>
      </c>
      <c r="B933" s="438"/>
      <c r="C933" s="438"/>
      <c r="D933" s="438"/>
      <c r="E933" s="438"/>
      <c r="F933" s="438"/>
      <c r="G933" s="438"/>
      <c r="H933" s="438"/>
      <c r="I933" s="439"/>
      <c r="J933" s="217">
        <f>SUM(I929:I932)</f>
        <v>13500</v>
      </c>
    </row>
    <row r="934" spans="1:10" x14ac:dyDescent="0.25">
      <c r="A934" s="442" t="s">
        <v>112</v>
      </c>
      <c r="B934" s="442"/>
      <c r="C934" s="442"/>
      <c r="D934" s="442"/>
      <c r="E934" s="442"/>
      <c r="F934" s="442"/>
      <c r="G934" s="442"/>
      <c r="H934" s="442"/>
      <c r="I934" s="442"/>
      <c r="J934" s="442"/>
    </row>
    <row r="935" spans="1:10" x14ac:dyDescent="0.25">
      <c r="A935" s="443" t="s">
        <v>113</v>
      </c>
      <c r="B935" s="443"/>
      <c r="C935" s="443"/>
      <c r="D935" s="443"/>
      <c r="E935" s="223" t="s">
        <v>114</v>
      </c>
      <c r="F935" s="223" t="s">
        <v>115</v>
      </c>
      <c r="G935" s="234" t="s">
        <v>116</v>
      </c>
      <c r="H935" s="223" t="s">
        <v>91</v>
      </c>
      <c r="I935" s="223" t="s">
        <v>92</v>
      </c>
      <c r="J935" s="213"/>
    </row>
    <row r="936" spans="1:10" x14ac:dyDescent="0.25">
      <c r="A936" s="444" t="s">
        <v>99</v>
      </c>
      <c r="B936" s="445"/>
      <c r="C936" s="446"/>
      <c r="D936" s="211">
        <v>1</v>
      </c>
      <c r="E936" s="235">
        <f>+IF(D936="","",VLOOKUP(A936,$L$4:$O$10,3,FALSE))</f>
        <v>142350</v>
      </c>
      <c r="F936" s="236">
        <f>+IF(D936="","",(VLOOKUP(A936,$L$4:$O$10,4,FALSE))+1)</f>
        <v>1.5821008628015805</v>
      </c>
      <c r="G936" s="219">
        <f>+IFERROR(F936*E936*D936,"")</f>
        <v>225212.05781980499</v>
      </c>
      <c r="H936" s="216">
        <v>4.8052608156683023</v>
      </c>
      <c r="I936" s="217">
        <f>IFERROR(G936/H936,"")</f>
        <v>46867.811438135876</v>
      </c>
      <c r="J936" s="213"/>
    </row>
    <row r="937" spans="1:10" ht="13.35" customHeight="1" x14ac:dyDescent="0.25">
      <c r="A937" s="444" t="s">
        <v>93</v>
      </c>
      <c r="B937" s="445"/>
      <c r="C937" s="446"/>
      <c r="D937" s="211">
        <v>1</v>
      </c>
      <c r="E937" s="235">
        <f>+IF(D937="","",VLOOKUP(A937,$L$4:$O$10,3,FALSE))</f>
        <v>77842</v>
      </c>
      <c r="F937" s="236">
        <f>+IF(D937="","",(VLOOKUP(A937,$L$4:$O$10,4,FALSE))+1)</f>
        <v>1.6752877632282406</v>
      </c>
      <c r="G937" s="219">
        <f>+IFERROR(F937*E937*D937,"")</f>
        <v>130407.75006521271</v>
      </c>
      <c r="H937" s="216">
        <f>+H936</f>
        <v>4.8052608156683023</v>
      </c>
      <c r="I937" s="217">
        <f t="shared" ref="I937:I938" si="103">IFERROR(G937/H937,"")</f>
        <v>27138.537338077029</v>
      </c>
      <c r="J937" s="213"/>
    </row>
    <row r="938" spans="1:10" ht="13.35" customHeight="1" x14ac:dyDescent="0.25">
      <c r="A938" s="444" t="s">
        <v>86</v>
      </c>
      <c r="B938" s="445"/>
      <c r="C938" s="446"/>
      <c r="D938" s="211">
        <v>2</v>
      </c>
      <c r="E938" s="235">
        <f>+IF(D938="","",VLOOKUP(A938,$L$4:$O$10,3,FALSE))</f>
        <v>54117</v>
      </c>
      <c r="F938" s="236">
        <f>+IF(D938="","",(VLOOKUP(A938,$L$4:$O$10,4,FALSE))+1)</f>
        <v>1.7246636834087141</v>
      </c>
      <c r="G938" s="219">
        <f>+IFERROR(F938*E938*D938,"")</f>
        <v>186667.24911005876</v>
      </c>
      <c r="H938" s="216">
        <f>+H937</f>
        <v>4.8052608156683023</v>
      </c>
      <c r="I938" s="217">
        <f t="shared" si="103"/>
        <v>38846.434412342634</v>
      </c>
      <c r="J938" s="213"/>
    </row>
    <row r="939" spans="1:10" x14ac:dyDescent="0.25">
      <c r="A939" s="444"/>
      <c r="B939" s="445"/>
      <c r="C939" s="446"/>
      <c r="D939" s="213"/>
      <c r="E939" s="213"/>
      <c r="F939" s="213"/>
      <c r="G939" s="213"/>
      <c r="H939" s="211"/>
      <c r="I939" s="217"/>
      <c r="J939" s="213"/>
    </row>
    <row r="940" spans="1:10" ht="14.45" customHeight="1" x14ac:dyDescent="0.25">
      <c r="A940" s="437" t="s">
        <v>100</v>
      </c>
      <c r="B940" s="438"/>
      <c r="C940" s="438"/>
      <c r="D940" s="438"/>
      <c r="E940" s="438"/>
      <c r="F940" s="438"/>
      <c r="G940" s="438"/>
      <c r="H940" s="438"/>
      <c r="I940" s="439"/>
      <c r="J940" s="217">
        <f>SUM(I936:I939)</f>
        <v>112852.78318855554</v>
      </c>
    </row>
    <row r="941" spans="1:10" x14ac:dyDescent="0.25">
      <c r="A941" s="462" t="str">
        <f>+[48]PRESUPUESTO!$B$1</f>
        <v>CONSTRUCCION DE 14 METROS BOX CULVERT EN EL SECTOR BARRIO NUEVO DE SANTA RITA, CABECERA MUNICIPAL DE RIO IRÓ - DEPARTAMENTO DEL CHOCÓ</v>
      </c>
      <c r="B941" s="462"/>
      <c r="C941" s="462"/>
      <c r="D941" s="462"/>
      <c r="E941" s="462"/>
      <c r="F941" s="462"/>
      <c r="G941" s="462"/>
      <c r="H941" s="462"/>
      <c r="I941" s="462"/>
      <c r="J941" s="462"/>
    </row>
    <row r="942" spans="1:10" ht="29.45" customHeight="1" x14ac:dyDescent="0.25">
      <c r="A942" s="463"/>
      <c r="B942" s="463"/>
      <c r="C942" s="463"/>
      <c r="D942" s="463"/>
      <c r="E942" s="463"/>
      <c r="F942" s="463"/>
      <c r="G942" s="463"/>
      <c r="H942" s="463"/>
      <c r="I942" s="462"/>
      <c r="J942" s="462"/>
    </row>
    <row r="943" spans="1:10" ht="12.2" customHeight="1" x14ac:dyDescent="0.25">
      <c r="A943" s="256" t="s">
        <v>78</v>
      </c>
      <c r="B943" s="455" t="s">
        <v>79</v>
      </c>
      <c r="C943" s="455"/>
      <c r="D943" s="455"/>
      <c r="E943" s="455"/>
      <c r="F943" s="455"/>
      <c r="G943" s="455"/>
      <c r="H943" s="455"/>
      <c r="I943" s="257" t="s">
        <v>80</v>
      </c>
      <c r="J943" s="258" t="s">
        <v>81</v>
      </c>
    </row>
    <row r="944" spans="1:10" ht="21.2" customHeight="1" x14ac:dyDescent="0.25">
      <c r="A944" s="203"/>
      <c r="B944" s="456" t="e">
        <f>+VLOOKUP(A944,[48]PRESUPUESTO!$B$2:$D$19,2,FALSE)</f>
        <v>#N/A</v>
      </c>
      <c r="C944" s="457"/>
      <c r="D944" s="457"/>
      <c r="E944" s="457"/>
      <c r="F944" s="457"/>
      <c r="G944" s="457"/>
      <c r="H944" s="458"/>
      <c r="I944" s="204" t="e">
        <f>+VLOOKUP(A944,[48]PRESUPUESTO!$B$2:$D$19,3,FALSE)</f>
        <v>#N/A</v>
      </c>
      <c r="J944" s="237">
        <f>+ROUND(SUM(J952:J982),0)</f>
        <v>1434161</v>
      </c>
    </row>
    <row r="945" spans="1:10" x14ac:dyDescent="0.25">
      <c r="A945" s="459" t="s">
        <v>87</v>
      </c>
      <c r="B945" s="459"/>
      <c r="C945" s="459"/>
      <c r="D945" s="459"/>
      <c r="E945" s="459"/>
      <c r="F945" s="459"/>
      <c r="G945" s="459"/>
      <c r="H945" s="459"/>
      <c r="I945" s="442"/>
      <c r="J945" s="442"/>
    </row>
    <row r="946" spans="1:10" x14ac:dyDescent="0.25">
      <c r="A946" s="460" t="s">
        <v>2</v>
      </c>
      <c r="B946" s="460"/>
      <c r="C946" s="460"/>
      <c r="D946" s="460"/>
      <c r="E946" s="460"/>
      <c r="F946" s="223" t="s">
        <v>89</v>
      </c>
      <c r="G946" s="234" t="s">
        <v>90</v>
      </c>
      <c r="H946" s="223" t="s">
        <v>91</v>
      </c>
      <c r="I946" s="223" t="s">
        <v>92</v>
      </c>
      <c r="J946" s="213"/>
    </row>
    <row r="947" spans="1:10" x14ac:dyDescent="0.25">
      <c r="A947" s="451" t="s">
        <v>95</v>
      </c>
      <c r="B947" s="451"/>
      <c r="C947" s="451"/>
      <c r="D947" s="451"/>
      <c r="E947" s="451"/>
      <c r="F947" s="214"/>
      <c r="G947" s="215">
        <v>0.05</v>
      </c>
      <c r="H947" s="216"/>
      <c r="I947" s="217">
        <f>+J982*G947</f>
        <v>11223.835811001178</v>
      </c>
      <c r="J947" s="213"/>
    </row>
    <row r="948" spans="1:10" x14ac:dyDescent="0.25">
      <c r="A948" s="461" t="s">
        <v>158</v>
      </c>
      <c r="B948" s="461"/>
      <c r="C948" s="461"/>
      <c r="D948" s="461"/>
      <c r="E948" s="461"/>
      <c r="F948" s="224" t="str">
        <f>+IF(A948="","",VLOOKUP(A948,[46]MATERIALES!$B$7:$D$1222,2,FALSE))</f>
        <v>DIA</v>
      </c>
      <c r="G948" s="225">
        <f>+IF(A948="","",VLOOKUP(A948,[46]MATERIALES!$B$7:$E$1222,3,FALSE))</f>
        <v>53042</v>
      </c>
      <c r="H948" s="238">
        <f>IF(A948="","",1/H978)</f>
        <v>0.5</v>
      </c>
      <c r="I948" s="217">
        <f t="shared" ref="I948:I951" si="104">IFERROR(G948*H948,"")</f>
        <v>26521</v>
      </c>
      <c r="J948" s="213"/>
    </row>
    <row r="949" spans="1:10" x14ac:dyDescent="0.25">
      <c r="A949" s="451"/>
      <c r="B949" s="451"/>
      <c r="C949" s="451"/>
      <c r="D949" s="451"/>
      <c r="E949" s="451"/>
      <c r="F949" s="224" t="str">
        <f>+IF(A949="","",VLOOKUP(A949,[46]MATERIALES!$B$7:$D$1222,2,FALSE))</f>
        <v/>
      </c>
      <c r="G949" s="225" t="str">
        <f>+IF(A949="","",VLOOKUP(A949,[46]MATERIALES!$B$7:$E$1222,3,FALSE))</f>
        <v/>
      </c>
      <c r="H949" s="238" t="str">
        <f>IF(A949="","",1/H978)</f>
        <v/>
      </c>
      <c r="I949" s="217" t="str">
        <f t="shared" si="104"/>
        <v/>
      </c>
      <c r="J949" s="213"/>
    </row>
    <row r="950" spans="1:10" x14ac:dyDescent="0.25">
      <c r="A950" s="451"/>
      <c r="B950" s="451"/>
      <c r="C950" s="451"/>
      <c r="D950" s="451"/>
      <c r="E950" s="451"/>
      <c r="F950" s="224" t="str">
        <f>+IF(A950="","",VLOOKUP(A950,[46]MATERIALES!$B$7:$D$1222,2,FALSE))</f>
        <v/>
      </c>
      <c r="G950" s="225" t="str">
        <f>+IF(A950="","",VLOOKUP(A950,[46]MATERIALES!$B$7:$E$1222,3,FALSE))</f>
        <v/>
      </c>
      <c r="H950" s="238" t="str">
        <f>IF(A950="","",1/H979)</f>
        <v/>
      </c>
      <c r="I950" s="217" t="str">
        <f t="shared" si="104"/>
        <v/>
      </c>
      <c r="J950" s="213"/>
    </row>
    <row r="951" spans="1:10" x14ac:dyDescent="0.25">
      <c r="A951" s="451"/>
      <c r="B951" s="451"/>
      <c r="C951" s="451"/>
      <c r="D951" s="451"/>
      <c r="E951" s="451"/>
      <c r="F951" s="224" t="str">
        <f>+IF(A951="","",VLOOKUP(A951,[46]MATERIALES!$B$7:$D$1222,2,FALSE))</f>
        <v/>
      </c>
      <c r="G951" s="225" t="str">
        <f>+IF(A951="","",VLOOKUP(A951,[46]MATERIALES!$B$7:$E$1222,3,FALSE))</f>
        <v/>
      </c>
      <c r="H951" s="238"/>
      <c r="I951" s="217" t="str">
        <f t="shared" si="104"/>
        <v/>
      </c>
      <c r="J951" s="219"/>
    </row>
    <row r="952" spans="1:10" x14ac:dyDescent="0.25">
      <c r="A952" s="437" t="s">
        <v>100</v>
      </c>
      <c r="B952" s="438"/>
      <c r="C952" s="438"/>
      <c r="D952" s="438"/>
      <c r="E952" s="438"/>
      <c r="F952" s="438"/>
      <c r="G952" s="438"/>
      <c r="H952" s="438"/>
      <c r="I952" s="439"/>
      <c r="J952" s="217">
        <f>+SUM(I947:I951)</f>
        <v>37744.835811001176</v>
      </c>
    </row>
    <row r="953" spans="1:10" x14ac:dyDescent="0.25">
      <c r="A953" s="442" t="s">
        <v>101</v>
      </c>
      <c r="B953" s="442"/>
      <c r="C953" s="442"/>
      <c r="D953" s="442"/>
      <c r="E953" s="442"/>
      <c r="F953" s="442"/>
      <c r="G953" s="442"/>
      <c r="H953" s="442"/>
      <c r="I953" s="442"/>
      <c r="J953" s="442"/>
    </row>
    <row r="954" spans="1:10" x14ac:dyDescent="0.25">
      <c r="A954" s="452" t="s">
        <v>2</v>
      </c>
      <c r="B954" s="453"/>
      <c r="C954" s="453"/>
      <c r="D954" s="454"/>
      <c r="E954" s="223" t="s">
        <v>3</v>
      </c>
      <c r="F954" s="223" t="s">
        <v>102</v>
      </c>
      <c r="G954" s="223" t="s">
        <v>4</v>
      </c>
      <c r="H954" s="223" t="s">
        <v>103</v>
      </c>
      <c r="I954" s="223" t="s">
        <v>92</v>
      </c>
      <c r="J954" s="213"/>
    </row>
    <row r="955" spans="1:10" x14ac:dyDescent="0.25">
      <c r="A955" s="448" t="s">
        <v>138</v>
      </c>
      <c r="B955" s="449"/>
      <c r="C955" s="449"/>
      <c r="D955" s="449"/>
      <c r="E955" s="224" t="str">
        <f>+IF(A955="","",VLOOKUP(A955,[46]MATERIALES!$B$7:$D$225,2,FALSE))</f>
        <v>m3</v>
      </c>
      <c r="F955" s="225">
        <f>+IF(A955="","",VLOOKUP(A955,[46]MATERIALES!$B$7:$E$225,3,FALSE))</f>
        <v>840990</v>
      </c>
      <c r="G955" s="238">
        <f>+(0.15*1*1*4+0.15*0.7*1*2)</f>
        <v>0.80999999999999994</v>
      </c>
      <c r="H955" s="227">
        <v>0.05</v>
      </c>
      <c r="I955" s="217">
        <f>IFERROR(F955*G955*(1+H955),"")</f>
        <v>715261.99499999988</v>
      </c>
      <c r="J955" s="213"/>
    </row>
    <row r="956" spans="1:10" x14ac:dyDescent="0.25">
      <c r="A956" s="448" t="s">
        <v>146</v>
      </c>
      <c r="B956" s="449"/>
      <c r="C956" s="449"/>
      <c r="D956" s="449"/>
      <c r="E956" s="224" t="str">
        <f>+IF(A956="","",VLOOKUP(A956,[46]MATERIALES!$B$7:$D$225,2,FALSE))</f>
        <v>m2</v>
      </c>
      <c r="F956" s="225">
        <f>+IF(A956="","",VLOOKUP(A956,[46]MATERIALES!$B$7:$E$225,3,FALSE))</f>
        <v>73878</v>
      </c>
      <c r="G956" s="238">
        <v>0.24</v>
      </c>
      <c r="H956" s="227">
        <v>0.05</v>
      </c>
      <c r="I956" s="217">
        <f t="shared" ref="I956:I965" si="105">IFERROR(F956*G956*(1+H956),"")</f>
        <v>18617.255999999998</v>
      </c>
      <c r="J956" s="213"/>
    </row>
    <row r="957" spans="1:10" x14ac:dyDescent="0.25">
      <c r="A957" s="448" t="s">
        <v>159</v>
      </c>
      <c r="B957" s="449"/>
      <c r="C957" s="449"/>
      <c r="D957" s="449"/>
      <c r="E957" s="224" t="str">
        <f>+IF(A957="","",VLOOKUP(A957,[46]MATERIALES!$B$7:$D$225,2,FALSE))</f>
        <v>UN</v>
      </c>
      <c r="F957" s="225">
        <f>+IF(A957="","",VLOOKUP(A957,[46]MATERIALES!$B$7:$E$225,3,FALSE))</f>
        <v>74500</v>
      </c>
      <c r="G957" s="238">
        <f>0.7*4*2</f>
        <v>5.6</v>
      </c>
      <c r="H957" s="227">
        <v>0.05</v>
      </c>
      <c r="I957" s="217">
        <f t="shared" si="105"/>
        <v>438060</v>
      </c>
      <c r="J957" s="213"/>
    </row>
    <row r="958" spans="1:10" x14ac:dyDescent="0.25">
      <c r="A958" s="448"/>
      <c r="B958" s="449"/>
      <c r="C958" s="449"/>
      <c r="D958" s="449"/>
      <c r="E958" s="224" t="str">
        <f>+IF(A958="","",VLOOKUP(A958,[46]MATERIALES!$B$7:$D$225,2,FALSE))</f>
        <v/>
      </c>
      <c r="F958" s="225" t="str">
        <f>+IF(A958="","",VLOOKUP(A958,[46]MATERIALES!$B$7:$E$225,3,FALSE))</f>
        <v/>
      </c>
      <c r="G958" s="226"/>
      <c r="H958" s="227"/>
      <c r="I958" s="217" t="str">
        <f t="shared" si="105"/>
        <v/>
      </c>
      <c r="J958" s="213"/>
    </row>
    <row r="959" spans="1:10" x14ac:dyDescent="0.25">
      <c r="A959" s="448"/>
      <c r="B959" s="449"/>
      <c r="C959" s="449"/>
      <c r="D959" s="449"/>
      <c r="E959" s="224" t="str">
        <f>+IF(A959="","",VLOOKUP(A959,[46]MATERIALES!$B$7:$D$225,2,FALSE))</f>
        <v/>
      </c>
      <c r="F959" s="225" t="str">
        <f>+IF(A959="","",VLOOKUP(A959,[46]MATERIALES!$B$7:$E$225,3,FALSE))</f>
        <v/>
      </c>
      <c r="G959" s="226"/>
      <c r="H959" s="227"/>
      <c r="I959" s="217" t="str">
        <f t="shared" si="105"/>
        <v/>
      </c>
      <c r="J959" s="213"/>
    </row>
    <row r="960" spans="1:10" x14ac:dyDescent="0.25">
      <c r="A960" s="448"/>
      <c r="B960" s="449"/>
      <c r="C960" s="449"/>
      <c r="D960" s="449"/>
      <c r="E960" s="224" t="str">
        <f>+IF(A960="","",VLOOKUP(A960,[46]MATERIALES!$B$7:$D$225,2,FALSE))</f>
        <v/>
      </c>
      <c r="F960" s="225" t="str">
        <f>+IF(A960="","",VLOOKUP(A960,[46]MATERIALES!$B$7:$E$225,3,FALSE))</f>
        <v/>
      </c>
      <c r="G960" s="226"/>
      <c r="H960" s="227"/>
      <c r="I960" s="217" t="str">
        <f t="shared" si="105"/>
        <v/>
      </c>
      <c r="J960" s="213"/>
    </row>
    <row r="961" spans="1:10" x14ac:dyDescent="0.25">
      <c r="A961" s="448"/>
      <c r="B961" s="449"/>
      <c r="C961" s="449"/>
      <c r="D961" s="449"/>
      <c r="E961" s="224" t="str">
        <f>+IF(A961="","",VLOOKUP(A961,[46]MATERIALES!$B$7:$D$225,2,FALSE))</f>
        <v/>
      </c>
      <c r="F961" s="225" t="str">
        <f>+IF(A961="","",VLOOKUP(A961,[46]MATERIALES!$B$7:$E$225,3,FALSE))</f>
        <v/>
      </c>
      <c r="G961" s="226"/>
      <c r="H961" s="227"/>
      <c r="I961" s="217" t="str">
        <f t="shared" si="105"/>
        <v/>
      </c>
      <c r="J961" s="213"/>
    </row>
    <row r="962" spans="1:10" x14ac:dyDescent="0.25">
      <c r="A962" s="448"/>
      <c r="B962" s="449"/>
      <c r="C962" s="449"/>
      <c r="D962" s="450"/>
      <c r="E962" s="224" t="str">
        <f>+IF(A962="","",VLOOKUP(A962,[46]MATERIALES!$B$7:$D$225,2,FALSE))</f>
        <v/>
      </c>
      <c r="F962" s="225" t="str">
        <f>+IF(A962="","",VLOOKUP(A962,[46]MATERIALES!$B$7:$E$225,3,FALSE))</f>
        <v/>
      </c>
      <c r="G962" s="226"/>
      <c r="H962" s="227"/>
      <c r="I962" s="217" t="str">
        <f t="shared" si="105"/>
        <v/>
      </c>
      <c r="J962" s="213"/>
    </row>
    <row r="963" spans="1:10" x14ac:dyDescent="0.25">
      <c r="A963" s="448"/>
      <c r="B963" s="449"/>
      <c r="C963" s="449"/>
      <c r="D963" s="449"/>
      <c r="E963" s="224" t="str">
        <f>+IF(A963="","",VLOOKUP(A963,[46]MATERIALES!$B$7:$D$225,2,FALSE))</f>
        <v/>
      </c>
      <c r="F963" s="225" t="str">
        <f>+IF(A963="","",VLOOKUP(A963,[46]MATERIALES!$B$7:$E$225,3,FALSE))</f>
        <v/>
      </c>
      <c r="G963" s="226"/>
      <c r="H963" s="227"/>
      <c r="I963" s="217" t="str">
        <f t="shared" si="105"/>
        <v/>
      </c>
      <c r="J963" s="213"/>
    </row>
    <row r="964" spans="1:10" x14ac:dyDescent="0.25">
      <c r="A964" s="444"/>
      <c r="B964" s="445"/>
      <c r="C964" s="445"/>
      <c r="D964" s="445"/>
      <c r="E964" s="224" t="str">
        <f>+IF(A964="","",VLOOKUP(A964,[46]MATERIALES!$B$7:$D$225,2,FALSE))</f>
        <v/>
      </c>
      <c r="F964" s="225" t="str">
        <f>+IF(A964="","",VLOOKUP(A964,[46]MATERIALES!$B$7:$E$225,3,FALSE))</f>
        <v/>
      </c>
      <c r="G964" s="226"/>
      <c r="H964" s="227"/>
      <c r="I964" s="217" t="str">
        <f t="shared" si="105"/>
        <v/>
      </c>
      <c r="J964" s="213"/>
    </row>
    <row r="965" spans="1:10" x14ac:dyDescent="0.25">
      <c r="A965" s="444"/>
      <c r="B965" s="445"/>
      <c r="C965" s="445"/>
      <c r="D965" s="445"/>
      <c r="E965" s="224" t="str">
        <f>+IF(A965="","",VLOOKUP(A965,[46]MATERIALES!$B$7:$D$225,2,FALSE))</f>
        <v/>
      </c>
      <c r="F965" s="225" t="str">
        <f>+IF(A965="","",VLOOKUP(A965,[46]MATERIALES!$B$7:$E$225,3,FALSE))</f>
        <v/>
      </c>
      <c r="G965" s="226"/>
      <c r="H965" s="227"/>
      <c r="I965" s="217" t="str">
        <f t="shared" si="105"/>
        <v/>
      </c>
      <c r="J965" s="213"/>
    </row>
    <row r="966" spans="1:10" x14ac:dyDescent="0.25">
      <c r="A966" s="444"/>
      <c r="B966" s="445"/>
      <c r="C966" s="445"/>
      <c r="D966" s="445"/>
      <c r="E966" s="224"/>
      <c r="F966" s="225"/>
      <c r="G966" s="226"/>
      <c r="H966" s="227"/>
      <c r="I966" s="217"/>
      <c r="J966" s="213"/>
    </row>
    <row r="967" spans="1:10" x14ac:dyDescent="0.25">
      <c r="A967" s="444"/>
      <c r="B967" s="445"/>
      <c r="C967" s="445"/>
      <c r="D967" s="445"/>
      <c r="E967" s="213"/>
      <c r="F967" s="214"/>
      <c r="G967" s="218"/>
      <c r="H967" s="227"/>
      <c r="I967" s="217">
        <f>IFERROR(F967*G967*(1+H967),"")</f>
        <v>0</v>
      </c>
      <c r="J967" s="213"/>
    </row>
    <row r="968" spans="1:10" x14ac:dyDescent="0.25">
      <c r="A968" s="437" t="s">
        <v>100</v>
      </c>
      <c r="B968" s="438"/>
      <c r="C968" s="438"/>
      <c r="D968" s="438"/>
      <c r="E968" s="438"/>
      <c r="F968" s="438"/>
      <c r="G968" s="438"/>
      <c r="H968" s="438"/>
      <c r="I968" s="439"/>
      <c r="J968" s="217">
        <f>SUM(I955:I967)</f>
        <v>1171939.2509999999</v>
      </c>
    </row>
    <row r="969" spans="1:10" x14ac:dyDescent="0.25">
      <c r="A969" s="442" t="s">
        <v>106</v>
      </c>
      <c r="B969" s="442"/>
      <c r="C969" s="442"/>
      <c r="D969" s="442"/>
      <c r="E969" s="442"/>
      <c r="F969" s="442"/>
      <c r="G969" s="442"/>
      <c r="H969" s="442"/>
      <c r="I969" s="442"/>
      <c r="J969" s="442"/>
    </row>
    <row r="970" spans="1:10" ht="22.5" x14ac:dyDescent="0.25">
      <c r="A970" s="443" t="s">
        <v>107</v>
      </c>
      <c r="B970" s="443"/>
      <c r="C970" s="443"/>
      <c r="D970" s="443"/>
      <c r="E970" s="223" t="s">
        <v>108</v>
      </c>
      <c r="F970" s="230" t="s">
        <v>109</v>
      </c>
      <c r="G970" s="223" t="s">
        <v>110</v>
      </c>
      <c r="H970" s="223" t="s">
        <v>111</v>
      </c>
      <c r="I970" s="223" t="s">
        <v>92</v>
      </c>
      <c r="J970" s="213"/>
    </row>
    <row r="971" spans="1:10" x14ac:dyDescent="0.25">
      <c r="A971" s="447" t="s">
        <v>160</v>
      </c>
      <c r="B971" s="447"/>
      <c r="C971" s="447"/>
      <c r="D971" s="447"/>
      <c r="E971" s="216" t="e">
        <f>+IF(A971="","",VLOOKUP(A971,[46]MATERIALES!$B$7:$E$1222,2,FALSE))</f>
        <v>#N/A</v>
      </c>
      <c r="F971" s="224">
        <v>0.3</v>
      </c>
      <c r="G971" s="231" t="e">
        <f>+IF(A971="","",VLOOKUP(A971,[46]MATERIALES!$B$7:$E$1222,4,FALSE))</f>
        <v>#N/A</v>
      </c>
      <c r="H971" s="216" t="e">
        <f>+IF(A971="","",VLOOKUP(A971,[46]MATERIALES!$B$7:$E$1222,3,FALSE))</f>
        <v>#N/A</v>
      </c>
      <c r="I971" s="217" t="str">
        <f>IFERROR(G971*H971*F971,"")</f>
        <v/>
      </c>
      <c r="J971" s="213"/>
    </row>
    <row r="972" spans="1:10" x14ac:dyDescent="0.25">
      <c r="A972" s="447"/>
      <c r="B972" s="447"/>
      <c r="C972" s="447"/>
      <c r="D972" s="447"/>
      <c r="E972" s="216" t="str">
        <f>+IF(A972="","",VLOOKUP(A972,[46]MATERIALES!$B$7:$E$1222,2,FALSE))</f>
        <v/>
      </c>
      <c r="F972" s="224"/>
      <c r="G972" s="231" t="str">
        <f>+IF(A972="","",VLOOKUP(A972,[46]MATERIALES!$B$7:$E$1222,4,FALSE))</f>
        <v/>
      </c>
      <c r="H972" s="216" t="str">
        <f>+IF(A972="","",VLOOKUP(A972,[46]MATERIALES!$B$7:$E$1222,3,FALSE))</f>
        <v/>
      </c>
      <c r="I972" s="217" t="str">
        <f>IFERROR(G972*H972*F972,"")</f>
        <v/>
      </c>
      <c r="J972" s="213"/>
    </row>
    <row r="973" spans="1:10" x14ac:dyDescent="0.25">
      <c r="A973" s="447"/>
      <c r="B973" s="447"/>
      <c r="C973" s="447"/>
      <c r="D973" s="447"/>
      <c r="E973" s="213"/>
      <c r="F973" s="214"/>
      <c r="G973" s="233"/>
      <c r="H973" s="216"/>
      <c r="I973" s="219"/>
      <c r="J973" s="213"/>
    </row>
    <row r="974" spans="1:10" x14ac:dyDescent="0.25">
      <c r="A974" s="447"/>
      <c r="B974" s="447"/>
      <c r="C974" s="447"/>
      <c r="D974" s="447"/>
      <c r="E974" s="213"/>
      <c r="F974" s="213"/>
      <c r="G974" s="213"/>
      <c r="H974" s="211"/>
      <c r="I974" s="213"/>
      <c r="J974" s="213"/>
    </row>
    <row r="975" spans="1:10" x14ac:dyDescent="0.25">
      <c r="A975" s="437" t="s">
        <v>100</v>
      </c>
      <c r="B975" s="438"/>
      <c r="C975" s="438"/>
      <c r="D975" s="438"/>
      <c r="E975" s="438"/>
      <c r="F975" s="438"/>
      <c r="G975" s="438"/>
      <c r="H975" s="438"/>
      <c r="I975" s="439"/>
      <c r="J975" s="217">
        <f>SUM(I971:I974)</f>
        <v>0</v>
      </c>
    </row>
    <row r="976" spans="1:10" x14ac:dyDescent="0.25">
      <c r="A976" s="442" t="s">
        <v>112</v>
      </c>
      <c r="B976" s="442"/>
      <c r="C976" s="442"/>
      <c r="D976" s="442"/>
      <c r="E976" s="442"/>
      <c r="F976" s="442"/>
      <c r="G976" s="442"/>
      <c r="H976" s="442"/>
      <c r="I976" s="442"/>
      <c r="J976" s="442"/>
    </row>
    <row r="977" spans="1:10" x14ac:dyDescent="0.25">
      <c r="A977" s="443" t="s">
        <v>113</v>
      </c>
      <c r="B977" s="443"/>
      <c r="C977" s="443"/>
      <c r="D977" s="443"/>
      <c r="E977" s="223" t="s">
        <v>114</v>
      </c>
      <c r="F977" s="223" t="s">
        <v>115</v>
      </c>
      <c r="G977" s="234" t="s">
        <v>116</v>
      </c>
      <c r="H977" s="223" t="s">
        <v>91</v>
      </c>
      <c r="I977" s="223" t="s">
        <v>92</v>
      </c>
      <c r="J977" s="213"/>
    </row>
    <row r="978" spans="1:10" x14ac:dyDescent="0.25">
      <c r="A978" s="444" t="s">
        <v>99</v>
      </c>
      <c r="B978" s="445"/>
      <c r="C978" s="446"/>
      <c r="D978" s="211">
        <v>1</v>
      </c>
      <c r="E978" s="235">
        <f>+IF(D978="","",VLOOKUP(A978,$L$4:$O$10,3,FALSE))</f>
        <v>142350</v>
      </c>
      <c r="F978" s="236">
        <f>+IF(D978="","",(VLOOKUP(A978,$L$4:$O$10,4,FALSE))+1)</f>
        <v>1.5821008628015805</v>
      </c>
      <c r="G978" s="219">
        <f>+IFERROR(F978*E978*D978,"")</f>
        <v>225212.05781980499</v>
      </c>
      <c r="H978" s="216">
        <v>2</v>
      </c>
      <c r="I978" s="217">
        <f>IFERROR(G978/H978,"")</f>
        <v>112606.0289099025</v>
      </c>
      <c r="J978" s="213"/>
    </row>
    <row r="979" spans="1:10" ht="13.35" customHeight="1" x14ac:dyDescent="0.25">
      <c r="A979" s="444" t="s">
        <v>93</v>
      </c>
      <c r="B979" s="445"/>
      <c r="C979" s="446"/>
      <c r="D979" s="211">
        <v>1</v>
      </c>
      <c r="E979" s="235">
        <f>+IF(D979="","",VLOOKUP(A979,$L$4:$O$10,3,FALSE))</f>
        <v>77842</v>
      </c>
      <c r="F979" s="236">
        <f>+IF(D979="","",(VLOOKUP(A979,$L$4:$O$10,4,FALSE))+1)</f>
        <v>1.6752877632282406</v>
      </c>
      <c r="G979" s="219">
        <f>+IFERROR(F979*E979*D979,"")</f>
        <v>130407.75006521271</v>
      </c>
      <c r="H979" s="216">
        <f>+H978</f>
        <v>2</v>
      </c>
      <c r="I979" s="217">
        <f t="shared" ref="I979:I980" si="106">IFERROR(G979/H979,"")</f>
        <v>65203.875032606353</v>
      </c>
      <c r="J979" s="213"/>
    </row>
    <row r="980" spans="1:10" ht="13.35" customHeight="1" x14ac:dyDescent="0.25">
      <c r="A980" s="444" t="s">
        <v>86</v>
      </c>
      <c r="B980" s="445"/>
      <c r="C980" s="446"/>
      <c r="D980" s="211">
        <v>1</v>
      </c>
      <c r="E980" s="235">
        <f>+IF(D980="","",VLOOKUP(A980,$L$4:$O$10,3,FALSE))</f>
        <v>54117</v>
      </c>
      <c r="F980" s="236">
        <f>+IF(D980="","",(VLOOKUP(A980,$L$4:$O$10,4,FALSE))+1)</f>
        <v>1.7246636834087141</v>
      </c>
      <c r="G980" s="219">
        <f>+IFERROR(F980*E980*D980,"")</f>
        <v>93333.624555029382</v>
      </c>
      <c r="H980" s="216">
        <f>+IF(D980="","",IFERROR(H979,""))</f>
        <v>2</v>
      </c>
      <c r="I980" s="217">
        <f t="shared" si="106"/>
        <v>46666.812277514691</v>
      </c>
      <c r="J980" s="213"/>
    </row>
    <row r="981" spans="1:10" x14ac:dyDescent="0.25">
      <c r="A981" s="444"/>
      <c r="B981" s="445"/>
      <c r="C981" s="446"/>
      <c r="D981" s="213"/>
      <c r="E981" s="213"/>
      <c r="F981" s="213"/>
      <c r="G981" s="213"/>
      <c r="H981" s="211"/>
      <c r="I981" s="217"/>
      <c r="J981" s="213"/>
    </row>
    <row r="982" spans="1:10" ht="14.45" customHeight="1" x14ac:dyDescent="0.25">
      <c r="A982" s="437" t="s">
        <v>100</v>
      </c>
      <c r="B982" s="438"/>
      <c r="C982" s="438"/>
      <c r="D982" s="438"/>
      <c r="E982" s="438"/>
      <c r="F982" s="438"/>
      <c r="G982" s="438"/>
      <c r="H982" s="438"/>
      <c r="I982" s="439"/>
      <c r="J982" s="217">
        <f>SUM(I978:I981)</f>
        <v>224476.71622002355</v>
      </c>
    </row>
    <row r="983" spans="1:10" x14ac:dyDescent="0.25">
      <c r="A983" s="462" t="str">
        <f>+[48]PRESUPUESTO!$B$1</f>
        <v>CONSTRUCCION DE 14 METROS BOX CULVERT EN EL SECTOR BARRIO NUEVO DE SANTA RITA, CABECERA MUNICIPAL DE RIO IRÓ - DEPARTAMENTO DEL CHOCÓ</v>
      </c>
      <c r="B983" s="462"/>
      <c r="C983" s="462"/>
      <c r="D983" s="462"/>
      <c r="E983" s="462"/>
      <c r="F983" s="462"/>
      <c r="G983" s="462"/>
      <c r="H983" s="462"/>
      <c r="I983" s="462"/>
      <c r="J983" s="462"/>
    </row>
    <row r="984" spans="1:10" ht="29.45" customHeight="1" x14ac:dyDescent="0.25">
      <c r="A984" s="463"/>
      <c r="B984" s="463"/>
      <c r="C984" s="463"/>
      <c r="D984" s="463"/>
      <c r="E984" s="463"/>
      <c r="F984" s="463"/>
      <c r="G984" s="463"/>
      <c r="H984" s="463"/>
      <c r="I984" s="462"/>
      <c r="J984" s="462"/>
    </row>
    <row r="985" spans="1:10" ht="12.2" customHeight="1" x14ac:dyDescent="0.25">
      <c r="A985" s="256" t="s">
        <v>78</v>
      </c>
      <c r="B985" s="455" t="s">
        <v>79</v>
      </c>
      <c r="C985" s="455"/>
      <c r="D985" s="455"/>
      <c r="E985" s="455"/>
      <c r="F985" s="455"/>
      <c r="G985" s="455"/>
      <c r="H985" s="455"/>
      <c r="I985" s="257" t="s">
        <v>80</v>
      </c>
      <c r="J985" s="258" t="s">
        <v>81</v>
      </c>
    </row>
    <row r="986" spans="1:10" ht="21.2" customHeight="1" x14ac:dyDescent="0.25">
      <c r="A986" s="203">
        <v>8.02</v>
      </c>
      <c r="B986" s="456" t="e">
        <f>+VLOOKUP(A986,[48]PRESUPUESTO!$B$2:$D$19,2,FALSE)</f>
        <v>#N/A</v>
      </c>
      <c r="C986" s="457"/>
      <c r="D986" s="457"/>
      <c r="E986" s="457"/>
      <c r="F986" s="457"/>
      <c r="G986" s="457"/>
      <c r="H986" s="458"/>
      <c r="I986" s="204" t="e">
        <f>+VLOOKUP(A986,[48]PRESUPUESTO!$B$2:$D$19,3,FALSE)</f>
        <v>#N/A</v>
      </c>
      <c r="J986" s="237">
        <f>+ROUND(SUM(J994:J1024),0)</f>
        <v>16597</v>
      </c>
    </row>
    <row r="987" spans="1:10" x14ac:dyDescent="0.25">
      <c r="A987" s="459" t="s">
        <v>87</v>
      </c>
      <c r="B987" s="459"/>
      <c r="C987" s="459"/>
      <c r="D987" s="459"/>
      <c r="E987" s="459"/>
      <c r="F987" s="459"/>
      <c r="G987" s="459"/>
      <c r="H987" s="459"/>
      <c r="I987" s="442"/>
      <c r="J987" s="442"/>
    </row>
    <row r="988" spans="1:10" x14ac:dyDescent="0.25">
      <c r="A988" s="460" t="s">
        <v>2</v>
      </c>
      <c r="B988" s="460"/>
      <c r="C988" s="460"/>
      <c r="D988" s="460"/>
      <c r="E988" s="460"/>
      <c r="F988" s="223" t="s">
        <v>89</v>
      </c>
      <c r="G988" s="234" t="s">
        <v>90</v>
      </c>
      <c r="H988" s="223" t="s">
        <v>91</v>
      </c>
      <c r="I988" s="223" t="s">
        <v>92</v>
      </c>
      <c r="J988" s="213"/>
    </row>
    <row r="989" spans="1:10" x14ac:dyDescent="0.25">
      <c r="A989" s="451" t="s">
        <v>95</v>
      </c>
      <c r="B989" s="451"/>
      <c r="C989" s="451"/>
      <c r="D989" s="451"/>
      <c r="E989" s="451"/>
      <c r="F989" s="214"/>
      <c r="G989" s="215">
        <v>0.05</v>
      </c>
      <c r="H989" s="216"/>
      <c r="I989" s="217">
        <f>+J1024*G989</f>
        <v>493.91639984030235</v>
      </c>
      <c r="J989" s="213"/>
    </row>
    <row r="990" spans="1:10" x14ac:dyDescent="0.25">
      <c r="A990" s="461" t="s">
        <v>161</v>
      </c>
      <c r="B990" s="461"/>
      <c r="C990" s="461"/>
      <c r="D990" s="461"/>
      <c r="E990" s="461"/>
      <c r="F990" s="224" t="str">
        <f>+IF(A990="","",VLOOKUP(A990,[46]MATERIALES!$B$7:$D$1222,2,FALSE))</f>
        <v>DIA</v>
      </c>
      <c r="G990" s="225">
        <f>+IF(A990="","",VLOOKUP(A990,[46]MATERIALES!$B$7:$E$1222,3,FALSE))</f>
        <v>20000</v>
      </c>
      <c r="H990" s="238">
        <f>IF(A990="","",1/H1020)</f>
        <v>2.7777777777777776E-2</v>
      </c>
      <c r="I990" s="217">
        <f t="shared" ref="I990:I993" si="107">IFERROR(G990*H990,"")</f>
        <v>555.55555555555554</v>
      </c>
      <c r="J990" s="213"/>
    </row>
    <row r="991" spans="1:10" x14ac:dyDescent="0.25">
      <c r="A991" s="451"/>
      <c r="B991" s="451"/>
      <c r="C991" s="451"/>
      <c r="D991" s="451"/>
      <c r="E991" s="451"/>
      <c r="F991" s="224" t="str">
        <f>+IF(A991="","",VLOOKUP(A991,[46]MATERIALES!$B$7:$D$1222,2,FALSE))</f>
        <v/>
      </c>
      <c r="G991" s="225" t="str">
        <f>+IF(A991="","",VLOOKUP(A991,[46]MATERIALES!$B$7:$E$1222,3,FALSE))</f>
        <v/>
      </c>
      <c r="H991" s="238" t="str">
        <f>IF(A991="","",1/H1020)</f>
        <v/>
      </c>
      <c r="I991" s="217" t="str">
        <f t="shared" si="107"/>
        <v/>
      </c>
      <c r="J991" s="213"/>
    </row>
    <row r="992" spans="1:10" x14ac:dyDescent="0.25">
      <c r="A992" s="451"/>
      <c r="B992" s="451"/>
      <c r="C992" s="451"/>
      <c r="D992" s="451"/>
      <c r="E992" s="451"/>
      <c r="F992" s="224" t="str">
        <f>+IF(A992="","",VLOOKUP(A992,[46]MATERIALES!$B$7:$D$1222,2,FALSE))</f>
        <v/>
      </c>
      <c r="G992" s="225" t="str">
        <f>+IF(A992="","",VLOOKUP(A992,[46]MATERIALES!$B$7:$E$1222,3,FALSE))</f>
        <v/>
      </c>
      <c r="H992" s="238" t="str">
        <f>IF(A992="","",1/H1021)</f>
        <v/>
      </c>
      <c r="I992" s="217" t="str">
        <f t="shared" si="107"/>
        <v/>
      </c>
      <c r="J992" s="213"/>
    </row>
    <row r="993" spans="1:10" x14ac:dyDescent="0.25">
      <c r="A993" s="451"/>
      <c r="B993" s="451"/>
      <c r="C993" s="451"/>
      <c r="D993" s="451"/>
      <c r="E993" s="451"/>
      <c r="F993" s="224" t="str">
        <f>+IF(A993="","",VLOOKUP(A993,[46]MATERIALES!$B$7:$D$1222,2,FALSE))</f>
        <v/>
      </c>
      <c r="G993" s="225" t="str">
        <f>+IF(A993="","",VLOOKUP(A993,[46]MATERIALES!$B$7:$E$1222,3,FALSE))</f>
        <v/>
      </c>
      <c r="H993" s="238"/>
      <c r="I993" s="217" t="str">
        <f t="shared" si="107"/>
        <v/>
      </c>
      <c r="J993" s="219"/>
    </row>
    <row r="994" spans="1:10" x14ac:dyDescent="0.25">
      <c r="A994" s="437" t="s">
        <v>100</v>
      </c>
      <c r="B994" s="438"/>
      <c r="C994" s="438"/>
      <c r="D994" s="438"/>
      <c r="E994" s="438"/>
      <c r="F994" s="438"/>
      <c r="G994" s="438"/>
      <c r="H994" s="438"/>
      <c r="I994" s="439"/>
      <c r="J994" s="217">
        <f>+SUM(I989:I993)</f>
        <v>1049.471955395858</v>
      </c>
    </row>
    <row r="995" spans="1:10" x14ac:dyDescent="0.25">
      <c r="A995" s="442" t="s">
        <v>101</v>
      </c>
      <c r="B995" s="442"/>
      <c r="C995" s="442"/>
      <c r="D995" s="442"/>
      <c r="E995" s="442"/>
      <c r="F995" s="442"/>
      <c r="G995" s="442"/>
      <c r="H995" s="442"/>
      <c r="I995" s="442"/>
      <c r="J995" s="442"/>
    </row>
    <row r="996" spans="1:10" x14ac:dyDescent="0.25">
      <c r="A996" s="452" t="s">
        <v>2</v>
      </c>
      <c r="B996" s="453"/>
      <c r="C996" s="453"/>
      <c r="D996" s="454"/>
      <c r="E996" s="223" t="s">
        <v>3</v>
      </c>
      <c r="F996" s="223" t="s">
        <v>102</v>
      </c>
      <c r="G996" s="223" t="s">
        <v>4</v>
      </c>
      <c r="H996" s="223" t="s">
        <v>103</v>
      </c>
      <c r="I996" s="223" t="s">
        <v>92</v>
      </c>
      <c r="J996" s="213"/>
    </row>
    <row r="997" spans="1:10" x14ac:dyDescent="0.25">
      <c r="A997" s="448" t="s">
        <v>162</v>
      </c>
      <c r="B997" s="449"/>
      <c r="C997" s="449"/>
      <c r="D997" s="449"/>
      <c r="E997" s="224" t="str">
        <f>+IF(A997="","",VLOOKUP(A997,[46]MATERIALES!$B$7:$D$225,2,FALSE))</f>
        <v>UN</v>
      </c>
      <c r="F997" s="225">
        <f>+IF(A997="","",VLOOKUP(A997,[46]MATERIALES!$B$7:$E$225,3,FALSE))</f>
        <v>17200</v>
      </c>
      <c r="G997" s="238">
        <v>0.16666666666666666</v>
      </c>
      <c r="H997" s="227">
        <v>0.05</v>
      </c>
      <c r="I997" s="217">
        <f>IFERROR(F997*G997*(1+H997),"")</f>
        <v>3010</v>
      </c>
      <c r="J997" s="213"/>
    </row>
    <row r="998" spans="1:10" x14ac:dyDescent="0.25">
      <c r="A998" s="448" t="s">
        <v>163</v>
      </c>
      <c r="B998" s="449"/>
      <c r="C998" s="449"/>
      <c r="D998" s="449"/>
      <c r="E998" s="224" t="str">
        <f>+IF(A998="","",VLOOKUP(A998,[46]MATERIALES!$B$7:$D$225,2,FALSE))</f>
        <v>UN</v>
      </c>
      <c r="F998" s="225">
        <f>+IF(A998="","",VLOOKUP(A998,[46]MATERIALES!$B$7:$E$225,3,FALSE))</f>
        <v>400</v>
      </c>
      <c r="G998" s="238">
        <v>0.33333333333333331</v>
      </c>
      <c r="H998" s="227">
        <v>0.05</v>
      </c>
      <c r="I998" s="217">
        <f t="shared" ref="I998:I1007" si="108">IFERROR(F998*G998*(1+H998),"")</f>
        <v>140</v>
      </c>
      <c r="J998" s="213"/>
    </row>
    <row r="999" spans="1:10" x14ac:dyDescent="0.25">
      <c r="A999" s="448" t="s">
        <v>164</v>
      </c>
      <c r="B999" s="449"/>
      <c r="C999" s="449"/>
      <c r="D999" s="449"/>
      <c r="E999" s="224" t="str">
        <f>+IF(A999="","",VLOOKUP(A999,[46]MATERIALES!$B$7:$D$225,2,FALSE))</f>
        <v>UN</v>
      </c>
      <c r="F999" s="225">
        <f>+IF(A999="","",VLOOKUP(A999,[46]MATERIALES!$B$7:$E$225,3,FALSE))</f>
        <v>600</v>
      </c>
      <c r="G999" s="238">
        <v>0.16666666666666666</v>
      </c>
      <c r="H999" s="227">
        <v>0.05</v>
      </c>
      <c r="I999" s="217">
        <f t="shared" si="108"/>
        <v>105</v>
      </c>
      <c r="J999" s="213"/>
    </row>
    <row r="1000" spans="1:10" x14ac:dyDescent="0.25">
      <c r="A1000" s="448" t="s">
        <v>165</v>
      </c>
      <c r="B1000" s="449"/>
      <c r="C1000" s="449"/>
      <c r="D1000" s="449"/>
      <c r="E1000" s="224" t="str">
        <f>+IF(A1000="","",VLOOKUP(A1000,[46]MATERIALES!$B$7:$D$225,2,FALSE))</f>
        <v>UN</v>
      </c>
      <c r="F1000" s="225">
        <f>+IF(A1000="","",VLOOKUP(A1000,[46]MATERIALES!$B$7:$E$225,3,FALSE))</f>
        <v>700</v>
      </c>
      <c r="G1000" s="226">
        <v>0.16666666666666666</v>
      </c>
      <c r="H1000" s="227">
        <v>0.05</v>
      </c>
      <c r="I1000" s="217">
        <f t="shared" si="108"/>
        <v>122.5</v>
      </c>
      <c r="J1000" s="213"/>
    </row>
    <row r="1001" spans="1:10" x14ac:dyDescent="0.25">
      <c r="A1001" s="448" t="s">
        <v>130</v>
      </c>
      <c r="B1001" s="449"/>
      <c r="C1001" s="449"/>
      <c r="D1001" s="449"/>
      <c r="E1001" s="224" t="str">
        <f>+IF(A1001="","",VLOOKUP(A1001,[46]MATERIALES!$B$7:$D$225,2,FALSE))</f>
        <v>UN</v>
      </c>
      <c r="F1001" s="225">
        <f>+IF(A1001="","",VLOOKUP(A1001,[46]MATERIALES!$B$7:$E$225,3,FALSE))</f>
        <v>85400</v>
      </c>
      <c r="G1001" s="226">
        <v>0.01</v>
      </c>
      <c r="H1001" s="227">
        <v>0.05</v>
      </c>
      <c r="I1001" s="217">
        <f t="shared" si="108"/>
        <v>896.7</v>
      </c>
      <c r="J1001" s="213"/>
    </row>
    <row r="1002" spans="1:10" x14ac:dyDescent="0.25">
      <c r="A1002" s="448" t="s">
        <v>131</v>
      </c>
      <c r="B1002" s="449"/>
      <c r="C1002" s="449"/>
      <c r="D1002" s="449"/>
      <c r="E1002" s="224" t="str">
        <f>+IF(A1002="","",VLOOKUP(A1002,[46]MATERIALES!$B$7:$D$225,2,FALSE))</f>
        <v>un</v>
      </c>
      <c r="F1002" s="225">
        <f>+IF(A1002="","",VLOOKUP(A1002,[46]MATERIALES!$B$7:$E$225,3,FALSE))</f>
        <v>54900</v>
      </c>
      <c r="G1002" s="226">
        <v>0.01</v>
      </c>
      <c r="H1002" s="227">
        <v>0.05</v>
      </c>
      <c r="I1002" s="217">
        <f t="shared" si="108"/>
        <v>576.45000000000005</v>
      </c>
      <c r="J1002" s="213"/>
    </row>
    <row r="1003" spans="1:10" x14ac:dyDescent="0.25">
      <c r="A1003" s="448" t="s">
        <v>132</v>
      </c>
      <c r="B1003" s="449"/>
      <c r="C1003" s="449"/>
      <c r="D1003" s="449"/>
      <c r="E1003" s="224" t="str">
        <f>+IF(A1003="","",VLOOKUP(A1003,[46]MATERIALES!$B$7:$D$225,2,FALSE))</f>
        <v>Libra</v>
      </c>
      <c r="F1003" s="225">
        <f>+IF(A1003="","",VLOOKUP(A1003,[46]MATERIALES!$B$7:$E$225,3,FALSE))</f>
        <v>7800</v>
      </c>
      <c r="G1003" s="226">
        <v>0.1</v>
      </c>
      <c r="H1003" s="227">
        <v>0.05</v>
      </c>
      <c r="I1003" s="217">
        <f t="shared" si="108"/>
        <v>819</v>
      </c>
      <c r="J1003" s="213"/>
    </row>
    <row r="1004" spans="1:10" x14ac:dyDescent="0.25">
      <c r="A1004" s="448"/>
      <c r="B1004" s="449"/>
      <c r="C1004" s="449"/>
      <c r="D1004" s="450"/>
      <c r="E1004" s="224" t="str">
        <f>+IF(A1004="","",VLOOKUP(A1004,[46]MATERIALES!$B$7:$D$225,2,FALSE))</f>
        <v/>
      </c>
      <c r="F1004" s="225" t="str">
        <f>+IF(A1004="","",VLOOKUP(A1004,[46]MATERIALES!$B$7:$E$225,3,FALSE))</f>
        <v/>
      </c>
      <c r="G1004" s="226"/>
      <c r="H1004" s="227"/>
      <c r="I1004" s="217" t="str">
        <f t="shared" si="108"/>
        <v/>
      </c>
      <c r="J1004" s="213"/>
    </row>
    <row r="1005" spans="1:10" x14ac:dyDescent="0.25">
      <c r="A1005" s="448"/>
      <c r="B1005" s="449"/>
      <c r="C1005" s="449"/>
      <c r="D1005" s="449"/>
      <c r="E1005" s="224" t="str">
        <f>+IF(A1005="","",VLOOKUP(A1005,[46]MATERIALES!$B$7:$D$225,2,FALSE))</f>
        <v/>
      </c>
      <c r="F1005" s="225" t="str">
        <f>+IF(A1005="","",VLOOKUP(A1005,[46]MATERIALES!$B$7:$E$225,3,FALSE))</f>
        <v/>
      </c>
      <c r="G1005" s="226"/>
      <c r="H1005" s="227"/>
      <c r="I1005" s="217" t="str">
        <f t="shared" si="108"/>
        <v/>
      </c>
      <c r="J1005" s="213"/>
    </row>
    <row r="1006" spans="1:10" x14ac:dyDescent="0.25">
      <c r="A1006" s="444"/>
      <c r="B1006" s="445"/>
      <c r="C1006" s="445"/>
      <c r="D1006" s="445"/>
      <c r="E1006" s="224" t="str">
        <f>+IF(A1006="","",VLOOKUP(A1006,[46]MATERIALES!$B$7:$D$225,2,FALSE))</f>
        <v/>
      </c>
      <c r="F1006" s="225" t="str">
        <f>+IF(A1006="","",VLOOKUP(A1006,[46]MATERIALES!$B$7:$E$225,3,FALSE))</f>
        <v/>
      </c>
      <c r="G1006" s="226"/>
      <c r="H1006" s="227"/>
      <c r="I1006" s="217" t="str">
        <f t="shared" si="108"/>
        <v/>
      </c>
      <c r="J1006" s="213"/>
    </row>
    <row r="1007" spans="1:10" x14ac:dyDescent="0.25">
      <c r="A1007" s="444"/>
      <c r="B1007" s="445"/>
      <c r="C1007" s="445"/>
      <c r="D1007" s="445"/>
      <c r="E1007" s="224" t="str">
        <f>+IF(A1007="","",VLOOKUP(A1007,[46]MATERIALES!$B$7:$D$225,2,FALSE))</f>
        <v/>
      </c>
      <c r="F1007" s="225" t="str">
        <f>+IF(A1007="","",VLOOKUP(A1007,[46]MATERIALES!$B$7:$E$225,3,FALSE))</f>
        <v/>
      </c>
      <c r="G1007" s="226"/>
      <c r="H1007" s="227"/>
      <c r="I1007" s="217" t="str">
        <f t="shared" si="108"/>
        <v/>
      </c>
      <c r="J1007" s="213"/>
    </row>
    <row r="1008" spans="1:10" x14ac:dyDescent="0.25">
      <c r="A1008" s="444"/>
      <c r="B1008" s="445"/>
      <c r="C1008" s="445"/>
      <c r="D1008" s="445"/>
      <c r="E1008" s="224"/>
      <c r="F1008" s="225"/>
      <c r="G1008" s="226"/>
      <c r="H1008" s="227"/>
      <c r="I1008" s="217"/>
      <c r="J1008" s="213"/>
    </row>
    <row r="1009" spans="1:10" x14ac:dyDescent="0.25">
      <c r="A1009" s="444"/>
      <c r="B1009" s="445"/>
      <c r="C1009" s="445"/>
      <c r="D1009" s="445"/>
      <c r="E1009" s="213"/>
      <c r="F1009" s="214"/>
      <c r="G1009" s="218"/>
      <c r="H1009" s="227"/>
      <c r="I1009" s="217">
        <f>IFERROR(F1009*G1009*(1+H1009),"")</f>
        <v>0</v>
      </c>
      <c r="J1009" s="213"/>
    </row>
    <row r="1010" spans="1:10" x14ac:dyDescent="0.25">
      <c r="A1010" s="437" t="s">
        <v>100</v>
      </c>
      <c r="B1010" s="438"/>
      <c r="C1010" s="438"/>
      <c r="D1010" s="438"/>
      <c r="E1010" s="438"/>
      <c r="F1010" s="438"/>
      <c r="G1010" s="438"/>
      <c r="H1010" s="438"/>
      <c r="I1010" s="439"/>
      <c r="J1010" s="217">
        <f>SUM(I997:I1009)</f>
        <v>5669.65</v>
      </c>
    </row>
    <row r="1011" spans="1:10" x14ac:dyDescent="0.25">
      <c r="A1011" s="442" t="s">
        <v>106</v>
      </c>
      <c r="B1011" s="442"/>
      <c r="C1011" s="442"/>
      <c r="D1011" s="442"/>
      <c r="E1011" s="442"/>
      <c r="F1011" s="442"/>
      <c r="G1011" s="442"/>
      <c r="H1011" s="442"/>
      <c r="I1011" s="442"/>
      <c r="J1011" s="442"/>
    </row>
    <row r="1012" spans="1:10" ht="22.5" x14ac:dyDescent="0.25">
      <c r="A1012" s="443" t="s">
        <v>107</v>
      </c>
      <c r="B1012" s="443"/>
      <c r="C1012" s="443"/>
      <c r="D1012" s="443"/>
      <c r="E1012" s="223" t="s">
        <v>108</v>
      </c>
      <c r="F1012" s="230" t="s">
        <v>109</v>
      </c>
      <c r="G1012" s="223" t="s">
        <v>110</v>
      </c>
      <c r="H1012" s="223" t="s">
        <v>111</v>
      </c>
      <c r="I1012" s="223" t="s">
        <v>92</v>
      </c>
      <c r="J1012" s="213"/>
    </row>
    <row r="1013" spans="1:10" x14ac:dyDescent="0.25">
      <c r="A1013" s="447" t="s">
        <v>160</v>
      </c>
      <c r="B1013" s="447"/>
      <c r="C1013" s="447"/>
      <c r="D1013" s="447"/>
      <c r="E1013" s="216" t="e">
        <f>+IF(A1013="","",VLOOKUP(A1013,[46]MATERIALES!$B$7:$E$1222,2,FALSE))</f>
        <v>#N/A</v>
      </c>
      <c r="F1013" s="224">
        <f>0.1*0.1</f>
        <v>1.0000000000000002E-2</v>
      </c>
      <c r="G1013" s="231" t="e">
        <f>+IF(A1013="","",VLOOKUP(A1013,[46]MATERIALES!$B$7:$E$1222,4,FALSE))</f>
        <v>#N/A</v>
      </c>
      <c r="H1013" s="216" t="e">
        <f>+IF(A1013="","",VLOOKUP(A1013,[46]MATERIALES!$B$7:$E$1222,3,FALSE))</f>
        <v>#N/A</v>
      </c>
      <c r="I1013" s="217" t="str">
        <f>IFERROR(G1013*H1013*F1013,"")</f>
        <v/>
      </c>
      <c r="J1013" s="213"/>
    </row>
    <row r="1014" spans="1:10" x14ac:dyDescent="0.25">
      <c r="A1014" s="447"/>
      <c r="B1014" s="447"/>
      <c r="C1014" s="447"/>
      <c r="D1014" s="447"/>
      <c r="E1014" s="216" t="str">
        <f>+IF(A1014="","",VLOOKUP(A1014,[46]MATERIALES!$B$7:$E$1222,2,FALSE))</f>
        <v/>
      </c>
      <c r="F1014" s="224"/>
      <c r="G1014" s="231" t="str">
        <f>+IF(A1014="","",VLOOKUP(A1014,[46]MATERIALES!$B$7:$E$1222,4,FALSE))</f>
        <v/>
      </c>
      <c r="H1014" s="216" t="str">
        <f>+IF(A1014="","",VLOOKUP(A1014,[46]MATERIALES!$B$7:$E$1222,3,FALSE))</f>
        <v/>
      </c>
      <c r="I1014" s="217" t="str">
        <f>IFERROR(G1014*H1014*F1014,"")</f>
        <v/>
      </c>
      <c r="J1014" s="213"/>
    </row>
    <row r="1015" spans="1:10" x14ac:dyDescent="0.25">
      <c r="A1015" s="447"/>
      <c r="B1015" s="447"/>
      <c r="C1015" s="447"/>
      <c r="D1015" s="447"/>
      <c r="E1015" s="213"/>
      <c r="F1015" s="214"/>
      <c r="G1015" s="233"/>
      <c r="H1015" s="216"/>
      <c r="I1015" s="219"/>
      <c r="J1015" s="213"/>
    </row>
    <row r="1016" spans="1:10" x14ac:dyDescent="0.25">
      <c r="A1016" s="447"/>
      <c r="B1016" s="447"/>
      <c r="C1016" s="447"/>
      <c r="D1016" s="447"/>
      <c r="E1016" s="213"/>
      <c r="F1016" s="213"/>
      <c r="G1016" s="213"/>
      <c r="H1016" s="211"/>
      <c r="I1016" s="213"/>
      <c r="J1016" s="213"/>
    </row>
    <row r="1017" spans="1:10" x14ac:dyDescent="0.25">
      <c r="A1017" s="437" t="s">
        <v>100</v>
      </c>
      <c r="B1017" s="438"/>
      <c r="C1017" s="438"/>
      <c r="D1017" s="438"/>
      <c r="E1017" s="438"/>
      <c r="F1017" s="438"/>
      <c r="G1017" s="438"/>
      <c r="H1017" s="438"/>
      <c r="I1017" s="439"/>
      <c r="J1017" s="217">
        <f>SUM(I1013:I1016)</f>
        <v>0</v>
      </c>
    </row>
    <row r="1018" spans="1:10" x14ac:dyDescent="0.25">
      <c r="A1018" s="442" t="s">
        <v>112</v>
      </c>
      <c r="B1018" s="442"/>
      <c r="C1018" s="442"/>
      <c r="D1018" s="442"/>
      <c r="E1018" s="442"/>
      <c r="F1018" s="442"/>
      <c r="G1018" s="442"/>
      <c r="H1018" s="442"/>
      <c r="I1018" s="442"/>
      <c r="J1018" s="442"/>
    </row>
    <row r="1019" spans="1:10" x14ac:dyDescent="0.25">
      <c r="A1019" s="443" t="s">
        <v>113</v>
      </c>
      <c r="B1019" s="443"/>
      <c r="C1019" s="443"/>
      <c r="D1019" s="443"/>
      <c r="E1019" s="223" t="s">
        <v>114</v>
      </c>
      <c r="F1019" s="223" t="s">
        <v>115</v>
      </c>
      <c r="G1019" s="234" t="s">
        <v>116</v>
      </c>
      <c r="H1019" s="223" t="s">
        <v>91</v>
      </c>
      <c r="I1019" s="223" t="s">
        <v>92</v>
      </c>
      <c r="J1019" s="213"/>
    </row>
    <row r="1020" spans="1:10" x14ac:dyDescent="0.25">
      <c r="A1020" s="444" t="s">
        <v>99</v>
      </c>
      <c r="B1020" s="445"/>
      <c r="C1020" s="446"/>
      <c r="D1020" s="211">
        <v>1</v>
      </c>
      <c r="E1020" s="235">
        <f>+IF(D1020="","",VLOOKUP(A1020,$L$4:$O$10,3,FALSE))</f>
        <v>142350</v>
      </c>
      <c r="F1020" s="236">
        <f>+IF(D1020="","",(VLOOKUP(A1020,$L$4:$O$10,4,FALSE))+1)</f>
        <v>1.5821008628015805</v>
      </c>
      <c r="G1020" s="219">
        <f>+IFERROR(F1020*E1020*D1020,"")</f>
        <v>225212.05781980499</v>
      </c>
      <c r="H1020" s="216">
        <v>36</v>
      </c>
      <c r="I1020" s="217">
        <f>IFERROR(G1020/H1020,"")</f>
        <v>6255.8904949945827</v>
      </c>
      <c r="J1020" s="213"/>
    </row>
    <row r="1021" spans="1:10" ht="13.35" customHeight="1" x14ac:dyDescent="0.25">
      <c r="A1021" s="444" t="s">
        <v>93</v>
      </c>
      <c r="B1021" s="445"/>
      <c r="C1021" s="446"/>
      <c r="D1021" s="211">
        <v>1</v>
      </c>
      <c r="E1021" s="235">
        <f>+IF(D1021="","",VLOOKUP(A1021,$L$4:$O$10,3,FALSE))</f>
        <v>77842</v>
      </c>
      <c r="F1021" s="236">
        <f>+IF(D1021="","",(VLOOKUP(A1021,$L$4:$O$10,4,FALSE))+1)</f>
        <v>1.6752877632282406</v>
      </c>
      <c r="G1021" s="219">
        <f>+IFERROR(F1021*E1021*D1021,"")</f>
        <v>130407.75006521271</v>
      </c>
      <c r="H1021" s="216">
        <f>+H1020</f>
        <v>36</v>
      </c>
      <c r="I1021" s="217">
        <f t="shared" ref="I1021:I1022" si="109">IFERROR(G1021/H1021,"")</f>
        <v>3622.4375018114642</v>
      </c>
      <c r="J1021" s="213"/>
    </row>
    <row r="1022" spans="1:10" ht="13.35" customHeight="1" x14ac:dyDescent="0.25">
      <c r="A1022" s="444"/>
      <c r="B1022" s="445"/>
      <c r="C1022" s="446"/>
      <c r="D1022" s="211"/>
      <c r="E1022" s="235" t="str">
        <f>+IF(D1022="","",VLOOKUP(A1022,$L$4:$O$10,3,FALSE))</f>
        <v/>
      </c>
      <c r="F1022" s="236" t="str">
        <f>+IF(D1022="","",(VLOOKUP(A1022,$L$4:$O$10,4,FALSE))+1)</f>
        <v/>
      </c>
      <c r="G1022" s="219" t="str">
        <f>+IFERROR(F1022*E1022*D1022,"")</f>
        <v/>
      </c>
      <c r="H1022" s="216" t="str">
        <f>+IF(D1022="","",IFERROR(H1021,""))</f>
        <v/>
      </c>
      <c r="I1022" s="217" t="str">
        <f t="shared" si="109"/>
        <v/>
      </c>
      <c r="J1022" s="213"/>
    </row>
    <row r="1023" spans="1:10" x14ac:dyDescent="0.25">
      <c r="A1023" s="444"/>
      <c r="B1023" s="445"/>
      <c r="C1023" s="446"/>
      <c r="D1023" s="213"/>
      <c r="E1023" s="213"/>
      <c r="F1023" s="213"/>
      <c r="G1023" s="213"/>
      <c r="H1023" s="211"/>
      <c r="I1023" s="217"/>
      <c r="J1023" s="213"/>
    </row>
    <row r="1024" spans="1:10" ht="14.45" customHeight="1" x14ac:dyDescent="0.25">
      <c r="A1024" s="437" t="s">
        <v>100</v>
      </c>
      <c r="B1024" s="438"/>
      <c r="C1024" s="438"/>
      <c r="D1024" s="438"/>
      <c r="E1024" s="438"/>
      <c r="F1024" s="438"/>
      <c r="G1024" s="438"/>
      <c r="H1024" s="438"/>
      <c r="I1024" s="439"/>
      <c r="J1024" s="217">
        <f>SUM(I1020:I1023)</f>
        <v>9878.3279968060469</v>
      </c>
    </row>
    <row r="1025" spans="1:10" x14ac:dyDescent="0.25">
      <c r="A1025" s="462" t="str">
        <f>+[48]PRESUPUESTO!$B$1</f>
        <v>CONSTRUCCION DE 14 METROS BOX CULVERT EN EL SECTOR BARRIO NUEVO DE SANTA RITA, CABECERA MUNICIPAL DE RIO IRÓ - DEPARTAMENTO DEL CHOCÓ</v>
      </c>
      <c r="B1025" s="462"/>
      <c r="C1025" s="462"/>
      <c r="D1025" s="462"/>
      <c r="E1025" s="462"/>
      <c r="F1025" s="462"/>
      <c r="G1025" s="462"/>
      <c r="H1025" s="462"/>
      <c r="I1025" s="462"/>
      <c r="J1025" s="462"/>
    </row>
    <row r="1026" spans="1:10" ht="29.45" customHeight="1" x14ac:dyDescent="0.25">
      <c r="A1026" s="463"/>
      <c r="B1026" s="463"/>
      <c r="C1026" s="463"/>
      <c r="D1026" s="463"/>
      <c r="E1026" s="463"/>
      <c r="F1026" s="463"/>
      <c r="G1026" s="463"/>
      <c r="H1026" s="463"/>
      <c r="I1026" s="462"/>
      <c r="J1026" s="462"/>
    </row>
    <row r="1027" spans="1:10" ht="12.2" customHeight="1" x14ac:dyDescent="0.25">
      <c r="A1027" s="256" t="s">
        <v>78</v>
      </c>
      <c r="B1027" s="455" t="s">
        <v>79</v>
      </c>
      <c r="C1027" s="455"/>
      <c r="D1027" s="455"/>
      <c r="E1027" s="455"/>
      <c r="F1027" s="455"/>
      <c r="G1027" s="455"/>
      <c r="H1027" s="455"/>
      <c r="I1027" s="257" t="s">
        <v>80</v>
      </c>
      <c r="J1027" s="258" t="s">
        <v>81</v>
      </c>
    </row>
    <row r="1028" spans="1:10" ht="21.2" customHeight="1" x14ac:dyDescent="0.25">
      <c r="A1028" s="203"/>
      <c r="B1028" s="456" t="e">
        <f>+VLOOKUP(A1028,[48]PRESUPUESTO!$B$2:$D$19,2,FALSE)</f>
        <v>#N/A</v>
      </c>
      <c r="C1028" s="457"/>
      <c r="D1028" s="457"/>
      <c r="E1028" s="457"/>
      <c r="F1028" s="457"/>
      <c r="G1028" s="457"/>
      <c r="H1028" s="458"/>
      <c r="I1028" s="204" t="e">
        <f>+VLOOKUP(A1028,[48]PRESUPUESTO!$B$2:$D$19,3,FALSE)</f>
        <v>#N/A</v>
      </c>
      <c r="J1028" s="237">
        <f>+ROUND(SUM(J1036:J1066),0)</f>
        <v>20383</v>
      </c>
    </row>
    <row r="1029" spans="1:10" x14ac:dyDescent="0.25">
      <c r="A1029" s="459" t="s">
        <v>87</v>
      </c>
      <c r="B1029" s="459"/>
      <c r="C1029" s="459"/>
      <c r="D1029" s="459"/>
      <c r="E1029" s="459"/>
      <c r="F1029" s="459"/>
      <c r="G1029" s="459"/>
      <c r="H1029" s="459"/>
      <c r="I1029" s="442"/>
      <c r="J1029" s="442"/>
    </row>
    <row r="1030" spans="1:10" x14ac:dyDescent="0.25">
      <c r="A1030" s="460" t="s">
        <v>2</v>
      </c>
      <c r="B1030" s="460"/>
      <c r="C1030" s="460"/>
      <c r="D1030" s="460"/>
      <c r="E1030" s="460"/>
      <c r="F1030" s="223" t="s">
        <v>89</v>
      </c>
      <c r="G1030" s="234" t="s">
        <v>90</v>
      </c>
      <c r="H1030" s="223" t="s">
        <v>91</v>
      </c>
      <c r="I1030" s="223" t="s">
        <v>92</v>
      </c>
      <c r="J1030" s="213"/>
    </row>
    <row r="1031" spans="1:10" x14ac:dyDescent="0.25">
      <c r="A1031" s="451" t="s">
        <v>95</v>
      </c>
      <c r="B1031" s="451"/>
      <c r="C1031" s="451"/>
      <c r="D1031" s="451"/>
      <c r="E1031" s="451"/>
      <c r="F1031" s="214"/>
      <c r="G1031" s="215">
        <v>0.05</v>
      </c>
      <c r="H1031" s="216"/>
      <c r="I1031" s="217">
        <f>+J1066*G1031</f>
        <v>493.91639984030235</v>
      </c>
      <c r="J1031" s="213"/>
    </row>
    <row r="1032" spans="1:10" x14ac:dyDescent="0.25">
      <c r="A1032" s="461" t="s">
        <v>161</v>
      </c>
      <c r="B1032" s="461"/>
      <c r="C1032" s="461"/>
      <c r="D1032" s="461"/>
      <c r="E1032" s="461"/>
      <c r="F1032" s="224" t="str">
        <f>+IF(A1032="","",VLOOKUP(A1032,[46]MATERIALES!$B$7:$D$1222,2,FALSE))</f>
        <v>DIA</v>
      </c>
      <c r="G1032" s="225">
        <f>+IF(A1032="","",VLOOKUP(A1032,[46]MATERIALES!$B$7:$E$1222,3,FALSE))</f>
        <v>20000</v>
      </c>
      <c r="H1032" s="238">
        <f>IF(A1032="","",1/H1062)</f>
        <v>2.7777777777777776E-2</v>
      </c>
      <c r="I1032" s="217">
        <f t="shared" ref="I1032:I1035" si="110">IFERROR(G1032*H1032,"")</f>
        <v>555.55555555555554</v>
      </c>
      <c r="J1032" s="213"/>
    </row>
    <row r="1033" spans="1:10" x14ac:dyDescent="0.25">
      <c r="A1033" s="451"/>
      <c r="B1033" s="451"/>
      <c r="C1033" s="451"/>
      <c r="D1033" s="451"/>
      <c r="E1033" s="451"/>
      <c r="F1033" s="224" t="str">
        <f>+IF(A1033="","",VLOOKUP(A1033,[46]MATERIALES!$B$7:$D$1222,2,FALSE))</f>
        <v/>
      </c>
      <c r="G1033" s="225" t="str">
        <f>+IF(A1033="","",VLOOKUP(A1033,[46]MATERIALES!$B$7:$E$1222,3,FALSE))</f>
        <v/>
      </c>
      <c r="H1033" s="238" t="str">
        <f>IF(A1033="","",1/H1062)</f>
        <v/>
      </c>
      <c r="I1033" s="217" t="str">
        <f t="shared" si="110"/>
        <v/>
      </c>
      <c r="J1033" s="213"/>
    </row>
    <row r="1034" spans="1:10" x14ac:dyDescent="0.25">
      <c r="A1034" s="451"/>
      <c r="B1034" s="451"/>
      <c r="C1034" s="451"/>
      <c r="D1034" s="451"/>
      <c r="E1034" s="451"/>
      <c r="F1034" s="224" t="str">
        <f>+IF(A1034="","",VLOOKUP(A1034,[46]MATERIALES!$B$7:$D$1222,2,FALSE))</f>
        <v/>
      </c>
      <c r="G1034" s="225" t="str">
        <f>+IF(A1034="","",VLOOKUP(A1034,[46]MATERIALES!$B$7:$E$1222,3,FALSE))</f>
        <v/>
      </c>
      <c r="H1034" s="238" t="str">
        <f>IF(A1034="","",1/H1063)</f>
        <v/>
      </c>
      <c r="I1034" s="217" t="str">
        <f t="shared" si="110"/>
        <v/>
      </c>
      <c r="J1034" s="213"/>
    </row>
    <row r="1035" spans="1:10" x14ac:dyDescent="0.25">
      <c r="A1035" s="451"/>
      <c r="B1035" s="451"/>
      <c r="C1035" s="451"/>
      <c r="D1035" s="451"/>
      <c r="E1035" s="451"/>
      <c r="F1035" s="224" t="str">
        <f>+IF(A1035="","",VLOOKUP(A1035,[46]MATERIALES!$B$7:$D$1222,2,FALSE))</f>
        <v/>
      </c>
      <c r="G1035" s="225" t="str">
        <f>+IF(A1035="","",VLOOKUP(A1035,[46]MATERIALES!$B$7:$E$1222,3,FALSE))</f>
        <v/>
      </c>
      <c r="H1035" s="238"/>
      <c r="I1035" s="217" t="str">
        <f t="shared" si="110"/>
        <v/>
      </c>
      <c r="J1035" s="219"/>
    </row>
    <row r="1036" spans="1:10" x14ac:dyDescent="0.25">
      <c r="A1036" s="437" t="s">
        <v>100</v>
      </c>
      <c r="B1036" s="438"/>
      <c r="C1036" s="438"/>
      <c r="D1036" s="438"/>
      <c r="E1036" s="438"/>
      <c r="F1036" s="438"/>
      <c r="G1036" s="438"/>
      <c r="H1036" s="438"/>
      <c r="I1036" s="439"/>
      <c r="J1036" s="217">
        <f>+SUM(I1031:I1035)</f>
        <v>1049.471955395858</v>
      </c>
    </row>
    <row r="1037" spans="1:10" x14ac:dyDescent="0.25">
      <c r="A1037" s="442" t="s">
        <v>101</v>
      </c>
      <c r="B1037" s="442"/>
      <c r="C1037" s="442"/>
      <c r="D1037" s="442"/>
      <c r="E1037" s="442"/>
      <c r="F1037" s="442"/>
      <c r="G1037" s="442"/>
      <c r="H1037" s="442"/>
      <c r="I1037" s="442"/>
      <c r="J1037" s="442"/>
    </row>
    <row r="1038" spans="1:10" x14ac:dyDescent="0.25">
      <c r="A1038" s="452" t="s">
        <v>2</v>
      </c>
      <c r="B1038" s="453"/>
      <c r="C1038" s="453"/>
      <c r="D1038" s="454"/>
      <c r="E1038" s="223" t="s">
        <v>3</v>
      </c>
      <c r="F1038" s="223" t="s">
        <v>102</v>
      </c>
      <c r="G1038" s="223" t="s">
        <v>4</v>
      </c>
      <c r="H1038" s="223" t="s">
        <v>103</v>
      </c>
      <c r="I1038" s="223" t="s">
        <v>92</v>
      </c>
      <c r="J1038" s="213"/>
    </row>
    <row r="1039" spans="1:10" x14ac:dyDescent="0.25">
      <c r="A1039" s="448" t="s">
        <v>166</v>
      </c>
      <c r="B1039" s="449"/>
      <c r="C1039" s="449"/>
      <c r="D1039" s="449"/>
      <c r="E1039" s="224" t="str">
        <f>+IF(A1039="","",VLOOKUP(A1039,[46]MATERIALES!$B$7:$D$225,2,FALSE))</f>
        <v>UN</v>
      </c>
      <c r="F1039" s="225">
        <f>+IF(A1039="","",VLOOKUP(A1039,[46]MATERIALES!$B$7:$E$225,3,FALSE))</f>
        <v>35900</v>
      </c>
      <c r="G1039" s="238">
        <v>0.16666666666666666</v>
      </c>
      <c r="H1039" s="227">
        <v>0.05</v>
      </c>
      <c r="I1039" s="217">
        <f>IFERROR(F1039*G1039*(1+H1039),"")</f>
        <v>6282.5</v>
      </c>
      <c r="J1039" s="213"/>
    </row>
    <row r="1040" spans="1:10" x14ac:dyDescent="0.25">
      <c r="A1040" s="448" t="s">
        <v>167</v>
      </c>
      <c r="B1040" s="449"/>
      <c r="C1040" s="449"/>
      <c r="D1040" s="449"/>
      <c r="E1040" s="224" t="str">
        <f>+IF(A1040="","",VLOOKUP(A1040,[46]MATERIALES!$B$7:$D$225,2,FALSE))</f>
        <v>UN</v>
      </c>
      <c r="F1040" s="225">
        <f>+IF(A1040="","",VLOOKUP(A1040,[46]MATERIALES!$B$7:$E$225,3,FALSE))</f>
        <v>500</v>
      </c>
      <c r="G1040" s="238">
        <v>0.16666666666666666</v>
      </c>
      <c r="H1040" s="227">
        <v>0.05</v>
      </c>
      <c r="I1040" s="217">
        <f t="shared" ref="I1040:I1049" si="111">IFERROR(F1040*G1040*(1+H1040),"")</f>
        <v>87.5</v>
      </c>
      <c r="J1040" s="213"/>
    </row>
    <row r="1041" spans="1:10" x14ac:dyDescent="0.25">
      <c r="A1041" s="448" t="s">
        <v>168</v>
      </c>
      <c r="B1041" s="449"/>
      <c r="C1041" s="449"/>
      <c r="D1041" s="449"/>
      <c r="E1041" s="224" t="str">
        <f>+IF(A1041="","",VLOOKUP(A1041,[46]MATERIALES!$B$7:$D$225,2,FALSE))</f>
        <v>UN</v>
      </c>
      <c r="F1041" s="225">
        <f>+IF(A1041="","",VLOOKUP(A1041,[46]MATERIALES!$B$7:$E$225,3,FALSE))</f>
        <v>800</v>
      </c>
      <c r="G1041" s="238">
        <v>0.33333333333333331</v>
      </c>
      <c r="H1041" s="227">
        <v>0.05</v>
      </c>
      <c r="I1041" s="217">
        <f t="shared" si="111"/>
        <v>280</v>
      </c>
      <c r="J1041" s="213"/>
    </row>
    <row r="1042" spans="1:10" x14ac:dyDescent="0.25">
      <c r="A1042" s="448" t="s">
        <v>169</v>
      </c>
      <c r="B1042" s="449"/>
      <c r="C1042" s="449"/>
      <c r="D1042" s="449"/>
      <c r="E1042" s="224" t="str">
        <f>+IF(A1042="","",VLOOKUP(A1042,[46]MATERIALES!$B$7:$D$225,2,FALSE))</f>
        <v>UN</v>
      </c>
      <c r="F1042" s="225">
        <f>+IF(A1042="","",VLOOKUP(A1042,[46]MATERIALES!$B$7:$E$225,3,FALSE))</f>
        <v>1250</v>
      </c>
      <c r="G1042" s="226">
        <v>0.16666666666666666</v>
      </c>
      <c r="H1042" s="227">
        <v>0.05</v>
      </c>
      <c r="I1042" s="217">
        <f t="shared" si="111"/>
        <v>218.75</v>
      </c>
      <c r="J1042" s="213"/>
    </row>
    <row r="1043" spans="1:10" x14ac:dyDescent="0.25">
      <c r="A1043" s="448" t="s">
        <v>130</v>
      </c>
      <c r="B1043" s="449"/>
      <c r="C1043" s="449"/>
      <c r="D1043" s="449"/>
      <c r="E1043" s="224" t="str">
        <f>+IF(A1043="","",VLOOKUP(A1043,[46]MATERIALES!$B$7:$D$225,2,FALSE))</f>
        <v>UN</v>
      </c>
      <c r="F1043" s="225">
        <f>+IF(A1043="","",VLOOKUP(A1043,[46]MATERIALES!$B$7:$E$225,3,FALSE))</f>
        <v>85400</v>
      </c>
      <c r="G1043" s="238">
        <v>1.2E-2</v>
      </c>
      <c r="H1043" s="227">
        <v>0.05</v>
      </c>
      <c r="I1043" s="217">
        <f t="shared" si="111"/>
        <v>1076.04</v>
      </c>
      <c r="J1043" s="213"/>
    </row>
    <row r="1044" spans="1:10" x14ac:dyDescent="0.25">
      <c r="A1044" s="448" t="s">
        <v>131</v>
      </c>
      <c r="B1044" s="449"/>
      <c r="C1044" s="449"/>
      <c r="D1044" s="449"/>
      <c r="E1044" s="224" t="str">
        <f>+IF(A1044="","",VLOOKUP(A1044,[46]MATERIALES!$B$7:$D$225,2,FALSE))</f>
        <v>un</v>
      </c>
      <c r="F1044" s="225">
        <f>+IF(A1044="","",VLOOKUP(A1044,[46]MATERIALES!$B$7:$E$225,3,FALSE))</f>
        <v>54900</v>
      </c>
      <c r="G1044" s="238">
        <v>1.2E-2</v>
      </c>
      <c r="H1044" s="227">
        <v>0.05</v>
      </c>
      <c r="I1044" s="217">
        <f t="shared" si="111"/>
        <v>691.74000000000012</v>
      </c>
      <c r="J1044" s="213"/>
    </row>
    <row r="1045" spans="1:10" x14ac:dyDescent="0.25">
      <c r="A1045" s="448" t="s">
        <v>132</v>
      </c>
      <c r="B1045" s="449"/>
      <c r="C1045" s="449"/>
      <c r="D1045" s="449"/>
      <c r="E1045" s="224" t="str">
        <f>+IF(A1045="","",VLOOKUP(A1045,[46]MATERIALES!$B$7:$D$225,2,FALSE))</f>
        <v>Libra</v>
      </c>
      <c r="F1045" s="225">
        <f>+IF(A1045="","",VLOOKUP(A1045,[46]MATERIALES!$B$7:$E$225,3,FALSE))</f>
        <v>7800</v>
      </c>
      <c r="G1045" s="226">
        <v>0.1</v>
      </c>
      <c r="H1045" s="227">
        <v>0.05</v>
      </c>
      <c r="I1045" s="217">
        <f t="shared" si="111"/>
        <v>819</v>
      </c>
      <c r="J1045" s="213"/>
    </row>
    <row r="1046" spans="1:10" x14ac:dyDescent="0.25">
      <c r="A1046" s="448"/>
      <c r="B1046" s="449"/>
      <c r="C1046" s="449"/>
      <c r="D1046" s="450"/>
      <c r="E1046" s="224" t="str">
        <f>+IF(A1046="","",VLOOKUP(A1046,[46]MATERIALES!$B$7:$D$225,2,FALSE))</f>
        <v/>
      </c>
      <c r="F1046" s="225" t="str">
        <f>+IF(A1046="","",VLOOKUP(A1046,[46]MATERIALES!$B$7:$E$225,3,FALSE))</f>
        <v/>
      </c>
      <c r="G1046" s="226"/>
      <c r="H1046" s="227"/>
      <c r="I1046" s="217" t="str">
        <f t="shared" si="111"/>
        <v/>
      </c>
      <c r="J1046" s="213"/>
    </row>
    <row r="1047" spans="1:10" x14ac:dyDescent="0.25">
      <c r="A1047" s="448"/>
      <c r="B1047" s="449"/>
      <c r="C1047" s="449"/>
      <c r="D1047" s="449"/>
      <c r="E1047" s="224" t="str">
        <f>+IF(A1047="","",VLOOKUP(A1047,[46]MATERIALES!$B$7:$D$225,2,FALSE))</f>
        <v/>
      </c>
      <c r="F1047" s="225" t="str">
        <f>+IF(A1047="","",VLOOKUP(A1047,[46]MATERIALES!$B$7:$E$225,3,FALSE))</f>
        <v/>
      </c>
      <c r="G1047" s="226"/>
      <c r="H1047" s="227"/>
      <c r="I1047" s="217" t="str">
        <f t="shared" si="111"/>
        <v/>
      </c>
      <c r="J1047" s="213"/>
    </row>
    <row r="1048" spans="1:10" x14ac:dyDescent="0.25">
      <c r="A1048" s="444"/>
      <c r="B1048" s="445"/>
      <c r="C1048" s="445"/>
      <c r="D1048" s="445"/>
      <c r="E1048" s="224" t="str">
        <f>+IF(A1048="","",VLOOKUP(A1048,[46]MATERIALES!$B$7:$D$225,2,FALSE))</f>
        <v/>
      </c>
      <c r="F1048" s="225" t="str">
        <f>+IF(A1048="","",VLOOKUP(A1048,[46]MATERIALES!$B$7:$E$225,3,FALSE))</f>
        <v/>
      </c>
      <c r="G1048" s="226"/>
      <c r="H1048" s="227"/>
      <c r="I1048" s="217" t="str">
        <f t="shared" si="111"/>
        <v/>
      </c>
      <c r="J1048" s="213"/>
    </row>
    <row r="1049" spans="1:10" x14ac:dyDescent="0.25">
      <c r="A1049" s="444"/>
      <c r="B1049" s="445"/>
      <c r="C1049" s="445"/>
      <c r="D1049" s="445"/>
      <c r="E1049" s="224" t="str">
        <f>+IF(A1049="","",VLOOKUP(A1049,[46]MATERIALES!$B$7:$D$225,2,FALSE))</f>
        <v/>
      </c>
      <c r="F1049" s="225" t="str">
        <f>+IF(A1049="","",VLOOKUP(A1049,[46]MATERIALES!$B$7:$E$225,3,FALSE))</f>
        <v/>
      </c>
      <c r="G1049" s="226"/>
      <c r="H1049" s="227"/>
      <c r="I1049" s="217" t="str">
        <f t="shared" si="111"/>
        <v/>
      </c>
      <c r="J1049" s="213"/>
    </row>
    <row r="1050" spans="1:10" x14ac:dyDescent="0.25">
      <c r="A1050" s="444"/>
      <c r="B1050" s="445"/>
      <c r="C1050" s="445"/>
      <c r="D1050" s="445"/>
      <c r="E1050" s="224"/>
      <c r="F1050" s="225"/>
      <c r="G1050" s="226"/>
      <c r="H1050" s="227"/>
      <c r="I1050" s="217"/>
      <c r="J1050" s="213"/>
    </row>
    <row r="1051" spans="1:10" x14ac:dyDescent="0.25">
      <c r="A1051" s="444"/>
      <c r="B1051" s="445"/>
      <c r="C1051" s="445"/>
      <c r="D1051" s="445"/>
      <c r="E1051" s="213"/>
      <c r="F1051" s="214"/>
      <c r="G1051" s="218"/>
      <c r="H1051" s="227"/>
      <c r="I1051" s="217">
        <f>IFERROR(F1051*G1051*(1+H1051),"")</f>
        <v>0</v>
      </c>
      <c r="J1051" s="213"/>
    </row>
    <row r="1052" spans="1:10" x14ac:dyDescent="0.25">
      <c r="A1052" s="437" t="s">
        <v>100</v>
      </c>
      <c r="B1052" s="438"/>
      <c r="C1052" s="438"/>
      <c r="D1052" s="438"/>
      <c r="E1052" s="438"/>
      <c r="F1052" s="438"/>
      <c r="G1052" s="438"/>
      <c r="H1052" s="438"/>
      <c r="I1052" s="439"/>
      <c r="J1052" s="217">
        <f>SUM(I1039:I1051)</f>
        <v>9455.5300000000007</v>
      </c>
    </row>
    <row r="1053" spans="1:10" x14ac:dyDescent="0.25">
      <c r="A1053" s="442" t="s">
        <v>106</v>
      </c>
      <c r="B1053" s="442"/>
      <c r="C1053" s="442"/>
      <c r="D1053" s="442"/>
      <c r="E1053" s="442"/>
      <c r="F1053" s="442"/>
      <c r="G1053" s="442"/>
      <c r="H1053" s="442"/>
      <c r="I1053" s="442"/>
      <c r="J1053" s="442"/>
    </row>
    <row r="1054" spans="1:10" ht="22.5" x14ac:dyDescent="0.25">
      <c r="A1054" s="443" t="s">
        <v>107</v>
      </c>
      <c r="B1054" s="443"/>
      <c r="C1054" s="443"/>
      <c r="D1054" s="443"/>
      <c r="E1054" s="223" t="s">
        <v>108</v>
      </c>
      <c r="F1054" s="230" t="s">
        <v>109</v>
      </c>
      <c r="G1054" s="223" t="s">
        <v>110</v>
      </c>
      <c r="H1054" s="223" t="s">
        <v>111</v>
      </c>
      <c r="I1054" s="223" t="s">
        <v>92</v>
      </c>
      <c r="J1054" s="213"/>
    </row>
    <row r="1055" spans="1:10" x14ac:dyDescent="0.25">
      <c r="A1055" s="447" t="s">
        <v>160</v>
      </c>
      <c r="B1055" s="447"/>
      <c r="C1055" s="447"/>
      <c r="D1055" s="447"/>
      <c r="E1055" s="216" t="e">
        <f>+IF(A1055="","",VLOOKUP(A1055,[46]MATERIALES!$B$7:$E$1222,2,FALSE))</f>
        <v>#N/A</v>
      </c>
      <c r="F1055" s="224">
        <f>0.1*0.1</f>
        <v>1.0000000000000002E-2</v>
      </c>
      <c r="G1055" s="231" t="e">
        <f>+IF(A1055="","",VLOOKUP(A1055,[46]MATERIALES!$B$7:$E$1222,4,FALSE))</f>
        <v>#N/A</v>
      </c>
      <c r="H1055" s="216" t="e">
        <f>+IF(A1055="","",VLOOKUP(A1055,[46]MATERIALES!$B$7:$E$1222,3,FALSE))</f>
        <v>#N/A</v>
      </c>
      <c r="I1055" s="217" t="str">
        <f>IFERROR(G1055*H1055*F1055,"")</f>
        <v/>
      </c>
      <c r="J1055" s="213"/>
    </row>
    <row r="1056" spans="1:10" x14ac:dyDescent="0.25">
      <c r="A1056" s="447"/>
      <c r="B1056" s="447"/>
      <c r="C1056" s="447"/>
      <c r="D1056" s="447"/>
      <c r="E1056" s="216" t="str">
        <f>+IF(A1056="","",VLOOKUP(A1056,[46]MATERIALES!$B$7:$E$1222,2,FALSE))</f>
        <v/>
      </c>
      <c r="F1056" s="224"/>
      <c r="G1056" s="231" t="str">
        <f>+IF(A1056="","",VLOOKUP(A1056,[46]MATERIALES!$B$7:$E$1222,4,FALSE))</f>
        <v/>
      </c>
      <c r="H1056" s="216" t="str">
        <f>+IF(A1056="","",VLOOKUP(A1056,[46]MATERIALES!$B$7:$E$1222,3,FALSE))</f>
        <v/>
      </c>
      <c r="I1056" s="217" t="str">
        <f>IFERROR(G1056*H1056*F1056,"")</f>
        <v/>
      </c>
      <c r="J1056" s="213"/>
    </row>
    <row r="1057" spans="1:10" x14ac:dyDescent="0.25">
      <c r="A1057" s="447"/>
      <c r="B1057" s="447"/>
      <c r="C1057" s="447"/>
      <c r="D1057" s="447"/>
      <c r="E1057" s="213"/>
      <c r="F1057" s="214"/>
      <c r="G1057" s="233"/>
      <c r="H1057" s="216"/>
      <c r="I1057" s="219"/>
      <c r="J1057" s="213"/>
    </row>
    <row r="1058" spans="1:10" x14ac:dyDescent="0.25">
      <c r="A1058" s="447"/>
      <c r="B1058" s="447"/>
      <c r="C1058" s="447"/>
      <c r="D1058" s="447"/>
      <c r="E1058" s="213"/>
      <c r="F1058" s="213"/>
      <c r="G1058" s="213"/>
      <c r="H1058" s="211"/>
      <c r="I1058" s="213"/>
      <c r="J1058" s="213"/>
    </row>
    <row r="1059" spans="1:10" x14ac:dyDescent="0.25">
      <c r="A1059" s="437" t="s">
        <v>100</v>
      </c>
      <c r="B1059" s="438"/>
      <c r="C1059" s="438"/>
      <c r="D1059" s="438"/>
      <c r="E1059" s="438"/>
      <c r="F1059" s="438"/>
      <c r="G1059" s="438"/>
      <c r="H1059" s="438"/>
      <c r="I1059" s="439"/>
      <c r="J1059" s="217">
        <f>SUM(I1055:I1058)</f>
        <v>0</v>
      </c>
    </row>
    <row r="1060" spans="1:10" x14ac:dyDescent="0.25">
      <c r="A1060" s="442" t="s">
        <v>112</v>
      </c>
      <c r="B1060" s="442"/>
      <c r="C1060" s="442"/>
      <c r="D1060" s="442"/>
      <c r="E1060" s="442"/>
      <c r="F1060" s="442"/>
      <c r="G1060" s="442"/>
      <c r="H1060" s="442"/>
      <c r="I1060" s="442"/>
      <c r="J1060" s="442"/>
    </row>
    <row r="1061" spans="1:10" x14ac:dyDescent="0.25">
      <c r="A1061" s="443" t="s">
        <v>113</v>
      </c>
      <c r="B1061" s="443"/>
      <c r="C1061" s="443"/>
      <c r="D1061" s="443"/>
      <c r="E1061" s="223" t="s">
        <v>114</v>
      </c>
      <c r="F1061" s="223" t="s">
        <v>115</v>
      </c>
      <c r="G1061" s="234" t="s">
        <v>116</v>
      </c>
      <c r="H1061" s="223" t="s">
        <v>91</v>
      </c>
      <c r="I1061" s="223" t="s">
        <v>92</v>
      </c>
      <c r="J1061" s="213"/>
    </row>
    <row r="1062" spans="1:10" x14ac:dyDescent="0.25">
      <c r="A1062" s="444" t="s">
        <v>99</v>
      </c>
      <c r="B1062" s="445"/>
      <c r="C1062" s="446"/>
      <c r="D1062" s="211">
        <v>1</v>
      </c>
      <c r="E1062" s="235">
        <f>+IF(D1062="","",VLOOKUP(A1062,$L$4:$O$10,3,FALSE))</f>
        <v>142350</v>
      </c>
      <c r="F1062" s="236">
        <f>+IF(D1062="","",(VLOOKUP(A1062,$L$4:$O$10,4,FALSE))+1)</f>
        <v>1.5821008628015805</v>
      </c>
      <c r="G1062" s="219">
        <f>+IFERROR(F1062*E1062*D1062,"")</f>
        <v>225212.05781980499</v>
      </c>
      <c r="H1062" s="216">
        <v>36</v>
      </c>
      <c r="I1062" s="217">
        <f>IFERROR(G1062/H1062,"")</f>
        <v>6255.8904949945827</v>
      </c>
      <c r="J1062" s="213"/>
    </row>
    <row r="1063" spans="1:10" ht="13.35" customHeight="1" x14ac:dyDescent="0.25">
      <c r="A1063" s="444" t="s">
        <v>93</v>
      </c>
      <c r="B1063" s="445"/>
      <c r="C1063" s="446"/>
      <c r="D1063" s="211">
        <v>1</v>
      </c>
      <c r="E1063" s="235">
        <f>+IF(D1063="","",VLOOKUP(A1063,$L$4:$O$10,3,FALSE))</f>
        <v>77842</v>
      </c>
      <c r="F1063" s="236">
        <f>+IF(D1063="","",(VLOOKUP(A1063,$L$4:$O$10,4,FALSE))+1)</f>
        <v>1.6752877632282406</v>
      </c>
      <c r="G1063" s="219">
        <f>+IFERROR(F1063*E1063*D1063,"")</f>
        <v>130407.75006521271</v>
      </c>
      <c r="H1063" s="216">
        <f>+H1062</f>
        <v>36</v>
      </c>
      <c r="I1063" s="217">
        <f t="shared" ref="I1063:I1064" si="112">IFERROR(G1063/H1063,"")</f>
        <v>3622.4375018114642</v>
      </c>
      <c r="J1063" s="213"/>
    </row>
    <row r="1064" spans="1:10" ht="13.35" customHeight="1" x14ac:dyDescent="0.25">
      <c r="A1064" s="444"/>
      <c r="B1064" s="445"/>
      <c r="C1064" s="446"/>
      <c r="D1064" s="211"/>
      <c r="E1064" s="235" t="str">
        <f>+IF(D1064="","",VLOOKUP(A1064,$L$4:$O$10,3,FALSE))</f>
        <v/>
      </c>
      <c r="F1064" s="236" t="str">
        <f>+IF(D1064="","",(VLOOKUP(A1064,$L$4:$O$10,4,FALSE))+1)</f>
        <v/>
      </c>
      <c r="G1064" s="219" t="str">
        <f>+IFERROR(F1064*E1064*D1064,"")</f>
        <v/>
      </c>
      <c r="H1064" s="216" t="str">
        <f>+IF(D1064="","",IFERROR(H1063,""))</f>
        <v/>
      </c>
      <c r="I1064" s="217" t="str">
        <f t="shared" si="112"/>
        <v/>
      </c>
      <c r="J1064" s="213"/>
    </row>
    <row r="1065" spans="1:10" x14ac:dyDescent="0.25">
      <c r="A1065" s="444"/>
      <c r="B1065" s="445"/>
      <c r="C1065" s="446"/>
      <c r="D1065" s="213"/>
      <c r="E1065" s="213"/>
      <c r="F1065" s="213"/>
      <c r="G1065" s="213"/>
      <c r="H1065" s="211"/>
      <c r="I1065" s="217"/>
      <c r="J1065" s="213"/>
    </row>
    <row r="1066" spans="1:10" ht="14.45" customHeight="1" x14ac:dyDescent="0.25">
      <c r="A1066" s="437" t="s">
        <v>100</v>
      </c>
      <c r="B1066" s="438"/>
      <c r="C1066" s="438"/>
      <c r="D1066" s="438"/>
      <c r="E1066" s="438"/>
      <c r="F1066" s="438"/>
      <c r="G1066" s="438"/>
      <c r="H1066" s="438"/>
      <c r="I1066" s="439"/>
      <c r="J1066" s="217">
        <f>SUM(I1062:I1065)</f>
        <v>9878.3279968060469</v>
      </c>
    </row>
    <row r="1067" spans="1:10" x14ac:dyDescent="0.25">
      <c r="A1067" s="462" t="str">
        <f>+[48]PRESUPUESTO!$B$1</f>
        <v>CONSTRUCCION DE 14 METROS BOX CULVERT EN EL SECTOR BARRIO NUEVO DE SANTA RITA, CABECERA MUNICIPAL DE RIO IRÓ - DEPARTAMENTO DEL CHOCÓ</v>
      </c>
      <c r="B1067" s="462"/>
      <c r="C1067" s="462"/>
      <c r="D1067" s="462"/>
      <c r="E1067" s="462"/>
      <c r="F1067" s="462"/>
      <c r="G1067" s="462"/>
      <c r="H1067" s="462"/>
      <c r="I1067" s="462"/>
      <c r="J1067" s="462"/>
    </row>
    <row r="1068" spans="1:10" ht="29.45" customHeight="1" x14ac:dyDescent="0.25">
      <c r="A1068" s="463"/>
      <c r="B1068" s="463"/>
      <c r="C1068" s="463"/>
      <c r="D1068" s="463"/>
      <c r="E1068" s="463"/>
      <c r="F1068" s="463"/>
      <c r="G1068" s="463"/>
      <c r="H1068" s="463"/>
      <c r="I1068" s="462"/>
      <c r="J1068" s="462"/>
    </row>
    <row r="1069" spans="1:10" ht="12.2" customHeight="1" x14ac:dyDescent="0.25">
      <c r="A1069" s="256" t="s">
        <v>78</v>
      </c>
      <c r="B1069" s="455" t="s">
        <v>79</v>
      </c>
      <c r="C1069" s="455"/>
      <c r="D1069" s="455"/>
      <c r="E1069" s="455"/>
      <c r="F1069" s="455"/>
      <c r="G1069" s="455"/>
      <c r="H1069" s="455"/>
      <c r="I1069" s="257" t="s">
        <v>80</v>
      </c>
      <c r="J1069" s="258" t="s">
        <v>81</v>
      </c>
    </row>
    <row r="1070" spans="1:10" ht="21.2" customHeight="1" x14ac:dyDescent="0.25">
      <c r="A1070" s="203"/>
      <c r="B1070" s="456" t="e">
        <f>+VLOOKUP(A1070,[48]PRESUPUESTO!$B$2:$D$19,2,FALSE)</f>
        <v>#N/A</v>
      </c>
      <c r="C1070" s="457"/>
      <c r="D1070" s="457"/>
      <c r="E1070" s="457"/>
      <c r="F1070" s="457"/>
      <c r="G1070" s="457"/>
      <c r="H1070" s="458"/>
      <c r="I1070" s="204" t="e">
        <f>+VLOOKUP(A1070,[48]PRESUPUESTO!$B$2:$D$19,3,FALSE)</f>
        <v>#N/A</v>
      </c>
      <c r="J1070" s="237">
        <f>+ROUND(SUM(J1078:J1108),0)</f>
        <v>23887</v>
      </c>
    </row>
    <row r="1071" spans="1:10" x14ac:dyDescent="0.25">
      <c r="A1071" s="459" t="s">
        <v>87</v>
      </c>
      <c r="B1071" s="459"/>
      <c r="C1071" s="459"/>
      <c r="D1071" s="459"/>
      <c r="E1071" s="459"/>
      <c r="F1071" s="459"/>
      <c r="G1071" s="459"/>
      <c r="H1071" s="459"/>
      <c r="I1071" s="442"/>
      <c r="J1071" s="442"/>
    </row>
    <row r="1072" spans="1:10" x14ac:dyDescent="0.25">
      <c r="A1072" s="460" t="s">
        <v>2</v>
      </c>
      <c r="B1072" s="460"/>
      <c r="C1072" s="460"/>
      <c r="D1072" s="460"/>
      <c r="E1072" s="460"/>
      <c r="F1072" s="223" t="s">
        <v>89</v>
      </c>
      <c r="G1072" s="234" t="s">
        <v>90</v>
      </c>
      <c r="H1072" s="223" t="s">
        <v>91</v>
      </c>
      <c r="I1072" s="223" t="s">
        <v>92</v>
      </c>
      <c r="J1072" s="213"/>
    </row>
    <row r="1073" spans="1:10" x14ac:dyDescent="0.25">
      <c r="A1073" s="451" t="s">
        <v>95</v>
      </c>
      <c r="B1073" s="451"/>
      <c r="C1073" s="451"/>
      <c r="D1073" s="451"/>
      <c r="E1073" s="451"/>
      <c r="F1073" s="214"/>
      <c r="G1073" s="215">
        <v>0.05</v>
      </c>
      <c r="H1073" s="216"/>
      <c r="I1073" s="217">
        <f>+J1108*G1073</f>
        <v>592.69967980836282</v>
      </c>
      <c r="J1073" s="213"/>
    </row>
    <row r="1074" spans="1:10" x14ac:dyDescent="0.25">
      <c r="A1074" s="461" t="s">
        <v>161</v>
      </c>
      <c r="B1074" s="461"/>
      <c r="C1074" s="461"/>
      <c r="D1074" s="461"/>
      <c r="E1074" s="461"/>
      <c r="F1074" s="224" t="str">
        <f>+IF(A1074="","",VLOOKUP(A1074,[46]MATERIALES!$B$7:$D$1222,2,FALSE))</f>
        <v>DIA</v>
      </c>
      <c r="G1074" s="225">
        <f>+IF(A1074="","",VLOOKUP(A1074,[46]MATERIALES!$B$7:$E$1222,3,FALSE))</f>
        <v>20000</v>
      </c>
      <c r="H1074" s="238">
        <f>IF(A1074="","",1/H1104)</f>
        <v>3.3333333333333333E-2</v>
      </c>
      <c r="I1074" s="217">
        <f t="shared" ref="I1074:I1077" si="113">IFERROR(G1074*H1074,"")</f>
        <v>666.66666666666663</v>
      </c>
      <c r="J1074" s="213"/>
    </row>
    <row r="1075" spans="1:10" x14ac:dyDescent="0.25">
      <c r="A1075" s="451"/>
      <c r="B1075" s="451"/>
      <c r="C1075" s="451"/>
      <c r="D1075" s="451"/>
      <c r="E1075" s="451"/>
      <c r="F1075" s="224" t="str">
        <f>+IF(A1075="","",VLOOKUP(A1075,[46]MATERIALES!$B$7:$D$1222,2,FALSE))</f>
        <v/>
      </c>
      <c r="G1075" s="225" t="str">
        <f>+IF(A1075="","",VLOOKUP(A1075,[46]MATERIALES!$B$7:$E$1222,3,FALSE))</f>
        <v/>
      </c>
      <c r="H1075" s="238" t="str">
        <f>IF(A1075="","",1/H1104)</f>
        <v/>
      </c>
      <c r="I1075" s="217" t="str">
        <f t="shared" si="113"/>
        <v/>
      </c>
      <c r="J1075" s="213"/>
    </row>
    <row r="1076" spans="1:10" x14ac:dyDescent="0.25">
      <c r="A1076" s="451"/>
      <c r="B1076" s="451"/>
      <c r="C1076" s="451"/>
      <c r="D1076" s="451"/>
      <c r="E1076" s="451"/>
      <c r="F1076" s="224" t="str">
        <f>+IF(A1076="","",VLOOKUP(A1076,[46]MATERIALES!$B$7:$D$1222,2,FALSE))</f>
        <v/>
      </c>
      <c r="G1076" s="225" t="str">
        <f>+IF(A1076="","",VLOOKUP(A1076,[46]MATERIALES!$B$7:$E$1222,3,FALSE))</f>
        <v/>
      </c>
      <c r="H1076" s="238" t="str">
        <f>IF(A1076="","",1/H1105)</f>
        <v/>
      </c>
      <c r="I1076" s="217" t="str">
        <f t="shared" si="113"/>
        <v/>
      </c>
      <c r="J1076" s="213"/>
    </row>
    <row r="1077" spans="1:10" x14ac:dyDescent="0.25">
      <c r="A1077" s="451"/>
      <c r="B1077" s="451"/>
      <c r="C1077" s="451"/>
      <c r="D1077" s="451"/>
      <c r="E1077" s="451"/>
      <c r="F1077" s="224" t="str">
        <f>+IF(A1077="","",VLOOKUP(A1077,[46]MATERIALES!$B$7:$D$1222,2,FALSE))</f>
        <v/>
      </c>
      <c r="G1077" s="225" t="str">
        <f>+IF(A1077="","",VLOOKUP(A1077,[46]MATERIALES!$B$7:$E$1222,3,FALSE))</f>
        <v/>
      </c>
      <c r="H1077" s="238"/>
      <c r="I1077" s="217" t="str">
        <f t="shared" si="113"/>
        <v/>
      </c>
      <c r="J1077" s="219"/>
    </row>
    <row r="1078" spans="1:10" x14ac:dyDescent="0.25">
      <c r="A1078" s="437" t="s">
        <v>100</v>
      </c>
      <c r="B1078" s="438"/>
      <c r="C1078" s="438"/>
      <c r="D1078" s="438"/>
      <c r="E1078" s="438"/>
      <c r="F1078" s="438"/>
      <c r="G1078" s="438"/>
      <c r="H1078" s="438"/>
      <c r="I1078" s="439"/>
      <c r="J1078" s="217">
        <f>+SUM(I1073:I1077)</f>
        <v>1259.3663464750293</v>
      </c>
    </row>
    <row r="1079" spans="1:10" x14ac:dyDescent="0.25">
      <c r="A1079" s="442" t="s">
        <v>101</v>
      </c>
      <c r="B1079" s="442"/>
      <c r="C1079" s="442"/>
      <c r="D1079" s="442"/>
      <c r="E1079" s="442"/>
      <c r="F1079" s="442"/>
      <c r="G1079" s="442"/>
      <c r="H1079" s="442"/>
      <c r="I1079" s="442"/>
      <c r="J1079" s="442"/>
    </row>
    <row r="1080" spans="1:10" x14ac:dyDescent="0.25">
      <c r="A1080" s="452" t="s">
        <v>2</v>
      </c>
      <c r="B1080" s="453"/>
      <c r="C1080" s="453"/>
      <c r="D1080" s="454"/>
      <c r="E1080" s="223" t="s">
        <v>3</v>
      </c>
      <c r="F1080" s="223" t="s">
        <v>102</v>
      </c>
      <c r="G1080" s="223" t="s">
        <v>4</v>
      </c>
      <c r="H1080" s="223" t="s">
        <v>103</v>
      </c>
      <c r="I1080" s="223" t="s">
        <v>92</v>
      </c>
      <c r="J1080" s="213"/>
    </row>
    <row r="1081" spans="1:10" ht="13.35" customHeight="1" x14ac:dyDescent="0.25">
      <c r="A1081" s="448" t="s">
        <v>170</v>
      </c>
      <c r="B1081" s="449"/>
      <c r="C1081" s="449"/>
      <c r="D1081" s="449"/>
      <c r="E1081" s="224" t="str">
        <f>+IF(A1081="","",VLOOKUP(A1081,[46]MATERIALES!$B$7:$D$225,2,FALSE))</f>
        <v>UN</v>
      </c>
      <c r="F1081" s="225">
        <f>+IF(A1081="","",VLOOKUP(A1081,[46]MATERIALES!$B$7:$E$225,3,FALSE))</f>
        <v>38900</v>
      </c>
      <c r="G1081" s="238">
        <v>0.16666666666666666</v>
      </c>
      <c r="H1081" s="227">
        <v>0.05</v>
      </c>
      <c r="I1081" s="217">
        <f>IFERROR(F1081*G1081*(1+H1081),"")</f>
        <v>6807.5</v>
      </c>
      <c r="J1081" s="213"/>
    </row>
    <row r="1082" spans="1:10" x14ac:dyDescent="0.25">
      <c r="A1082" s="448" t="s">
        <v>171</v>
      </c>
      <c r="B1082" s="449"/>
      <c r="C1082" s="449"/>
      <c r="D1082" s="449"/>
      <c r="E1082" s="224" t="str">
        <f>+IF(A1082="","",VLOOKUP(A1082,[46]MATERIALES!$B$7:$D$225,2,FALSE))</f>
        <v>UN</v>
      </c>
      <c r="F1082" s="225">
        <f>+IF(A1082="","",VLOOKUP(A1082,[46]MATERIALES!$B$7:$E$225,3,FALSE))</f>
        <v>900</v>
      </c>
      <c r="G1082" s="238">
        <v>0.16666666666666666</v>
      </c>
      <c r="H1082" s="227">
        <v>0.05</v>
      </c>
      <c r="I1082" s="217">
        <f t="shared" ref="I1082:I1091" si="114">IFERROR(F1082*G1082*(1+H1082),"")</f>
        <v>157.5</v>
      </c>
      <c r="J1082" s="213"/>
    </row>
    <row r="1083" spans="1:10" x14ac:dyDescent="0.25">
      <c r="A1083" s="448" t="s">
        <v>172</v>
      </c>
      <c r="B1083" s="449"/>
      <c r="C1083" s="449"/>
      <c r="D1083" s="449"/>
      <c r="E1083" s="224" t="str">
        <f>+IF(A1083="","",VLOOKUP(A1083,[46]MATERIALES!$B$7:$D$225,2,FALSE))</f>
        <v>UN</v>
      </c>
      <c r="F1083" s="225">
        <f>+IF(A1083="","",VLOOKUP(A1083,[46]MATERIALES!$B$7:$E$225,3,FALSE))</f>
        <v>1550</v>
      </c>
      <c r="G1083" s="238">
        <v>0.33333333333333331</v>
      </c>
      <c r="H1083" s="227">
        <v>0.05</v>
      </c>
      <c r="I1083" s="217">
        <f t="shared" si="114"/>
        <v>542.5</v>
      </c>
      <c r="J1083" s="213"/>
    </row>
    <row r="1084" spans="1:10" x14ac:dyDescent="0.25">
      <c r="A1084" s="448" t="s">
        <v>173</v>
      </c>
      <c r="B1084" s="449"/>
      <c r="C1084" s="449"/>
      <c r="D1084" s="449"/>
      <c r="E1084" s="224" t="str">
        <f>+IF(A1084="","",VLOOKUP(A1084,[46]MATERIALES!$B$7:$D$225,2,FALSE))</f>
        <v>UN</v>
      </c>
      <c r="F1084" s="225">
        <f>+IF(A1084="","",VLOOKUP(A1084,[46]MATERIALES!$B$7:$E$225,3,FALSE))</f>
        <v>2200</v>
      </c>
      <c r="G1084" s="226">
        <v>0.16666666666666666</v>
      </c>
      <c r="H1084" s="227">
        <v>0.05</v>
      </c>
      <c r="I1084" s="217">
        <f t="shared" si="114"/>
        <v>385</v>
      </c>
      <c r="J1084" s="213"/>
    </row>
    <row r="1085" spans="1:10" x14ac:dyDescent="0.25">
      <c r="A1085" s="448" t="s">
        <v>130</v>
      </c>
      <c r="B1085" s="449"/>
      <c r="C1085" s="449"/>
      <c r="D1085" s="449"/>
      <c r="E1085" s="224" t="str">
        <f>+IF(A1085="","",VLOOKUP(A1085,[46]MATERIALES!$B$7:$D$225,2,FALSE))</f>
        <v>UN</v>
      </c>
      <c r="F1085" s="225">
        <f>+IF(A1085="","",VLOOKUP(A1085,[46]MATERIALES!$B$7:$E$225,3,FALSE))</f>
        <v>85400</v>
      </c>
      <c r="G1085" s="238">
        <v>1.4E-2</v>
      </c>
      <c r="H1085" s="227">
        <v>0.05</v>
      </c>
      <c r="I1085" s="217">
        <f t="shared" si="114"/>
        <v>1255.3800000000001</v>
      </c>
      <c r="J1085" s="213"/>
    </row>
    <row r="1086" spans="1:10" x14ac:dyDescent="0.25">
      <c r="A1086" s="448" t="s">
        <v>131</v>
      </c>
      <c r="B1086" s="449"/>
      <c r="C1086" s="449"/>
      <c r="D1086" s="449"/>
      <c r="E1086" s="224" t="str">
        <f>+IF(A1086="","",VLOOKUP(A1086,[46]MATERIALES!$B$7:$D$225,2,FALSE))</f>
        <v>un</v>
      </c>
      <c r="F1086" s="225">
        <f>+IF(A1086="","",VLOOKUP(A1086,[46]MATERIALES!$B$7:$E$225,3,FALSE))</f>
        <v>54900</v>
      </c>
      <c r="G1086" s="238">
        <v>1.4E-2</v>
      </c>
      <c r="H1086" s="227">
        <v>0.05</v>
      </c>
      <c r="I1086" s="217">
        <f t="shared" si="114"/>
        <v>807.03000000000009</v>
      </c>
      <c r="J1086" s="213"/>
    </row>
    <row r="1087" spans="1:10" x14ac:dyDescent="0.25">
      <c r="A1087" s="448" t="s">
        <v>132</v>
      </c>
      <c r="B1087" s="449"/>
      <c r="C1087" s="449"/>
      <c r="D1087" s="449"/>
      <c r="E1087" s="224" t="str">
        <f>+IF(A1087="","",VLOOKUP(A1087,[46]MATERIALES!$B$7:$D$225,2,FALSE))</f>
        <v>Libra</v>
      </c>
      <c r="F1087" s="225">
        <f>+IF(A1087="","",VLOOKUP(A1087,[46]MATERIALES!$B$7:$E$225,3,FALSE))</f>
        <v>7800</v>
      </c>
      <c r="G1087" s="226">
        <v>0.1</v>
      </c>
      <c r="H1087" s="227">
        <v>0.05</v>
      </c>
      <c r="I1087" s="217">
        <f t="shared" si="114"/>
        <v>819</v>
      </c>
      <c r="J1087" s="213"/>
    </row>
    <row r="1088" spans="1:10" x14ac:dyDescent="0.25">
      <c r="A1088" s="448"/>
      <c r="B1088" s="449"/>
      <c r="C1088" s="449"/>
      <c r="D1088" s="450"/>
      <c r="E1088" s="224" t="str">
        <f>+IF(A1088="","",VLOOKUP(A1088,[46]MATERIALES!$B$7:$D$225,2,FALSE))</f>
        <v/>
      </c>
      <c r="F1088" s="225" t="str">
        <f>+IF(A1088="","",VLOOKUP(A1088,[46]MATERIALES!$B$7:$E$225,3,FALSE))</f>
        <v/>
      </c>
      <c r="G1088" s="226"/>
      <c r="H1088" s="227"/>
      <c r="I1088" s="217" t="str">
        <f t="shared" si="114"/>
        <v/>
      </c>
      <c r="J1088" s="213"/>
    </row>
    <row r="1089" spans="1:10" x14ac:dyDescent="0.25">
      <c r="A1089" s="448"/>
      <c r="B1089" s="449"/>
      <c r="C1089" s="449"/>
      <c r="D1089" s="449"/>
      <c r="E1089" s="224" t="str">
        <f>+IF(A1089="","",VLOOKUP(A1089,[46]MATERIALES!$B$7:$D$225,2,FALSE))</f>
        <v/>
      </c>
      <c r="F1089" s="225" t="str">
        <f>+IF(A1089="","",VLOOKUP(A1089,[46]MATERIALES!$B$7:$E$225,3,FALSE))</f>
        <v/>
      </c>
      <c r="G1089" s="226"/>
      <c r="H1089" s="227"/>
      <c r="I1089" s="217" t="str">
        <f t="shared" si="114"/>
        <v/>
      </c>
      <c r="J1089" s="213"/>
    </row>
    <row r="1090" spans="1:10" x14ac:dyDescent="0.25">
      <c r="A1090" s="444"/>
      <c r="B1090" s="445"/>
      <c r="C1090" s="445"/>
      <c r="D1090" s="445"/>
      <c r="E1090" s="224" t="str">
        <f>+IF(A1090="","",VLOOKUP(A1090,[46]MATERIALES!$B$7:$D$225,2,FALSE))</f>
        <v/>
      </c>
      <c r="F1090" s="225" t="str">
        <f>+IF(A1090="","",VLOOKUP(A1090,[46]MATERIALES!$B$7:$E$225,3,FALSE))</f>
        <v/>
      </c>
      <c r="G1090" s="226"/>
      <c r="H1090" s="227"/>
      <c r="I1090" s="217" t="str">
        <f t="shared" si="114"/>
        <v/>
      </c>
      <c r="J1090" s="213"/>
    </row>
    <row r="1091" spans="1:10" x14ac:dyDescent="0.25">
      <c r="A1091" s="444"/>
      <c r="B1091" s="445"/>
      <c r="C1091" s="445"/>
      <c r="D1091" s="445"/>
      <c r="E1091" s="224" t="str">
        <f>+IF(A1091="","",VLOOKUP(A1091,[46]MATERIALES!$B$7:$D$225,2,FALSE))</f>
        <v/>
      </c>
      <c r="F1091" s="225" t="str">
        <f>+IF(A1091="","",VLOOKUP(A1091,[46]MATERIALES!$B$7:$E$225,3,FALSE))</f>
        <v/>
      </c>
      <c r="G1091" s="226"/>
      <c r="H1091" s="227"/>
      <c r="I1091" s="217" t="str">
        <f t="shared" si="114"/>
        <v/>
      </c>
      <c r="J1091" s="213"/>
    </row>
    <row r="1092" spans="1:10" x14ac:dyDescent="0.25">
      <c r="A1092" s="444"/>
      <c r="B1092" s="445"/>
      <c r="C1092" s="445"/>
      <c r="D1092" s="445"/>
      <c r="E1092" s="224"/>
      <c r="F1092" s="225"/>
      <c r="G1092" s="226"/>
      <c r="H1092" s="227"/>
      <c r="I1092" s="217"/>
      <c r="J1092" s="213"/>
    </row>
    <row r="1093" spans="1:10" x14ac:dyDescent="0.25">
      <c r="A1093" s="444"/>
      <c r="B1093" s="445"/>
      <c r="C1093" s="445"/>
      <c r="D1093" s="445"/>
      <c r="E1093" s="213"/>
      <c r="F1093" s="214"/>
      <c r="G1093" s="218"/>
      <c r="H1093" s="227"/>
      <c r="I1093" s="217">
        <f>IFERROR(F1093*G1093*(1+H1093),"")</f>
        <v>0</v>
      </c>
      <c r="J1093" s="213"/>
    </row>
    <row r="1094" spans="1:10" x14ac:dyDescent="0.25">
      <c r="A1094" s="437" t="s">
        <v>100</v>
      </c>
      <c r="B1094" s="438"/>
      <c r="C1094" s="438"/>
      <c r="D1094" s="438"/>
      <c r="E1094" s="438"/>
      <c r="F1094" s="438"/>
      <c r="G1094" s="438"/>
      <c r="H1094" s="438"/>
      <c r="I1094" s="439"/>
      <c r="J1094" s="217">
        <f>SUM(I1081:I1093)</f>
        <v>10773.910000000002</v>
      </c>
    </row>
    <row r="1095" spans="1:10" x14ac:dyDescent="0.25">
      <c r="A1095" s="442" t="s">
        <v>106</v>
      </c>
      <c r="B1095" s="442"/>
      <c r="C1095" s="442"/>
      <c r="D1095" s="442"/>
      <c r="E1095" s="442"/>
      <c r="F1095" s="442"/>
      <c r="G1095" s="442"/>
      <c r="H1095" s="442"/>
      <c r="I1095" s="442"/>
      <c r="J1095" s="442"/>
    </row>
    <row r="1096" spans="1:10" ht="22.5" x14ac:dyDescent="0.25">
      <c r="A1096" s="443" t="s">
        <v>107</v>
      </c>
      <c r="B1096" s="443"/>
      <c r="C1096" s="443"/>
      <c r="D1096" s="443"/>
      <c r="E1096" s="223" t="s">
        <v>108</v>
      </c>
      <c r="F1096" s="230" t="s">
        <v>109</v>
      </c>
      <c r="G1096" s="223" t="s">
        <v>110</v>
      </c>
      <c r="H1096" s="223" t="s">
        <v>111</v>
      </c>
      <c r="I1096" s="223" t="s">
        <v>92</v>
      </c>
      <c r="J1096" s="213"/>
    </row>
    <row r="1097" spans="1:10" x14ac:dyDescent="0.25">
      <c r="A1097" s="447" t="s">
        <v>160</v>
      </c>
      <c r="B1097" s="447"/>
      <c r="C1097" s="447"/>
      <c r="D1097" s="447"/>
      <c r="E1097" s="216" t="e">
        <f>+IF(A1097="","",VLOOKUP(A1097,[46]MATERIALES!$B$7:$E$1222,2,FALSE))</f>
        <v>#N/A</v>
      </c>
      <c r="F1097" s="224">
        <f>0.1*0.1</f>
        <v>1.0000000000000002E-2</v>
      </c>
      <c r="G1097" s="231" t="e">
        <f>+IF(A1097="","",VLOOKUP(A1097,[46]MATERIALES!$B$7:$E$1222,4,FALSE))</f>
        <v>#N/A</v>
      </c>
      <c r="H1097" s="216" t="e">
        <f>+IF(A1097="","",VLOOKUP(A1097,[46]MATERIALES!$B$7:$E$1222,3,FALSE))</f>
        <v>#N/A</v>
      </c>
      <c r="I1097" s="217" t="str">
        <f>IFERROR(G1097*H1097*F1097,"")</f>
        <v/>
      </c>
      <c r="J1097" s="213"/>
    </row>
    <row r="1098" spans="1:10" x14ac:dyDescent="0.25">
      <c r="A1098" s="447"/>
      <c r="B1098" s="447"/>
      <c r="C1098" s="447"/>
      <c r="D1098" s="447"/>
      <c r="E1098" s="216" t="str">
        <f>+IF(A1098="","",VLOOKUP(A1098,[46]MATERIALES!$B$7:$E$1222,2,FALSE))</f>
        <v/>
      </c>
      <c r="F1098" s="224"/>
      <c r="G1098" s="231" t="str">
        <f>+IF(A1098="","",VLOOKUP(A1098,[46]MATERIALES!$B$7:$E$1222,4,FALSE))</f>
        <v/>
      </c>
      <c r="H1098" s="216" t="str">
        <f>+IF(A1098="","",VLOOKUP(A1098,[46]MATERIALES!$B$7:$E$1222,3,FALSE))</f>
        <v/>
      </c>
      <c r="I1098" s="217" t="str">
        <f>IFERROR(G1098*H1098*F1098,"")</f>
        <v/>
      </c>
      <c r="J1098" s="213"/>
    </row>
    <row r="1099" spans="1:10" x14ac:dyDescent="0.25">
      <c r="A1099" s="447"/>
      <c r="B1099" s="447"/>
      <c r="C1099" s="447"/>
      <c r="D1099" s="447"/>
      <c r="E1099" s="213"/>
      <c r="F1099" s="214"/>
      <c r="G1099" s="233"/>
      <c r="H1099" s="216"/>
      <c r="I1099" s="219"/>
      <c r="J1099" s="213"/>
    </row>
    <row r="1100" spans="1:10" x14ac:dyDescent="0.25">
      <c r="A1100" s="447"/>
      <c r="B1100" s="447"/>
      <c r="C1100" s="447"/>
      <c r="D1100" s="447"/>
      <c r="E1100" s="213"/>
      <c r="F1100" s="213"/>
      <c r="G1100" s="213"/>
      <c r="H1100" s="211"/>
      <c r="I1100" s="213"/>
      <c r="J1100" s="213"/>
    </row>
    <row r="1101" spans="1:10" x14ac:dyDescent="0.25">
      <c r="A1101" s="437" t="s">
        <v>100</v>
      </c>
      <c r="B1101" s="438"/>
      <c r="C1101" s="438"/>
      <c r="D1101" s="438"/>
      <c r="E1101" s="438"/>
      <c r="F1101" s="438"/>
      <c r="G1101" s="438"/>
      <c r="H1101" s="438"/>
      <c r="I1101" s="439"/>
      <c r="J1101" s="217">
        <f>SUM(I1097:I1100)</f>
        <v>0</v>
      </c>
    </row>
    <row r="1102" spans="1:10" x14ac:dyDescent="0.25">
      <c r="A1102" s="442" t="s">
        <v>112</v>
      </c>
      <c r="B1102" s="442"/>
      <c r="C1102" s="442"/>
      <c r="D1102" s="442"/>
      <c r="E1102" s="442"/>
      <c r="F1102" s="442"/>
      <c r="G1102" s="442"/>
      <c r="H1102" s="442"/>
      <c r="I1102" s="442"/>
      <c r="J1102" s="442"/>
    </row>
    <row r="1103" spans="1:10" x14ac:dyDescent="0.25">
      <c r="A1103" s="443" t="s">
        <v>113</v>
      </c>
      <c r="B1103" s="443"/>
      <c r="C1103" s="443"/>
      <c r="D1103" s="443"/>
      <c r="E1103" s="223" t="s">
        <v>114</v>
      </c>
      <c r="F1103" s="223" t="s">
        <v>115</v>
      </c>
      <c r="G1103" s="234" t="s">
        <v>116</v>
      </c>
      <c r="H1103" s="223" t="s">
        <v>91</v>
      </c>
      <c r="I1103" s="223" t="s">
        <v>92</v>
      </c>
      <c r="J1103" s="213"/>
    </row>
    <row r="1104" spans="1:10" x14ac:dyDescent="0.25">
      <c r="A1104" s="444" t="s">
        <v>99</v>
      </c>
      <c r="B1104" s="445"/>
      <c r="C1104" s="446"/>
      <c r="D1104" s="211">
        <v>1</v>
      </c>
      <c r="E1104" s="235">
        <f>+IF(D1104="","",VLOOKUP(A1104,$L$4:$O$10,3,FALSE))</f>
        <v>142350</v>
      </c>
      <c r="F1104" s="236">
        <f>+IF(D1104="","",(VLOOKUP(A1104,$L$4:$O$10,4,FALSE))+1)</f>
        <v>1.5821008628015805</v>
      </c>
      <c r="G1104" s="219">
        <f>+IFERROR(F1104*E1104*D1104,"")</f>
        <v>225212.05781980499</v>
      </c>
      <c r="H1104" s="216">
        <v>30</v>
      </c>
      <c r="I1104" s="217">
        <f>IFERROR(G1104/H1104,"")</f>
        <v>7507.0685939935001</v>
      </c>
      <c r="J1104" s="213"/>
    </row>
    <row r="1105" spans="1:10" ht="13.35" customHeight="1" x14ac:dyDescent="0.25">
      <c r="A1105" s="444" t="s">
        <v>93</v>
      </c>
      <c r="B1105" s="445"/>
      <c r="C1105" s="446"/>
      <c r="D1105" s="211">
        <v>1</v>
      </c>
      <c r="E1105" s="235">
        <f>+IF(D1105="","",VLOOKUP(A1105,$L$4:$O$10,3,FALSE))</f>
        <v>77842</v>
      </c>
      <c r="F1105" s="236">
        <f>+IF(D1105="","",(VLOOKUP(A1105,$L$4:$O$10,4,FALSE))+1)</f>
        <v>1.6752877632282406</v>
      </c>
      <c r="G1105" s="219">
        <f>+IFERROR(F1105*E1105*D1105,"")</f>
        <v>130407.75006521271</v>
      </c>
      <c r="H1105" s="216">
        <f>+H1104</f>
        <v>30</v>
      </c>
      <c r="I1105" s="217">
        <f t="shared" ref="I1105:I1106" si="115">IFERROR(G1105/H1105,"")</f>
        <v>4346.9250021737571</v>
      </c>
      <c r="J1105" s="213"/>
    </row>
    <row r="1106" spans="1:10" ht="13.35" customHeight="1" x14ac:dyDescent="0.25">
      <c r="A1106" s="444"/>
      <c r="B1106" s="445"/>
      <c r="C1106" s="446"/>
      <c r="D1106" s="211"/>
      <c r="E1106" s="235" t="str">
        <f>+IF(D1106="","",VLOOKUP(A1106,$L$4:$O$10,3,FALSE))</f>
        <v/>
      </c>
      <c r="F1106" s="236" t="str">
        <f>+IF(D1106="","",(VLOOKUP(A1106,$L$4:$O$10,4,FALSE))+1)</f>
        <v/>
      </c>
      <c r="G1106" s="219" t="str">
        <f>+IFERROR(F1106*E1106*D1106,"")</f>
        <v/>
      </c>
      <c r="H1106" s="216" t="str">
        <f>+IF(D1106="","",IFERROR(H1105,""))</f>
        <v/>
      </c>
      <c r="I1106" s="217" t="str">
        <f t="shared" si="115"/>
        <v/>
      </c>
      <c r="J1106" s="213"/>
    </row>
    <row r="1107" spans="1:10" x14ac:dyDescent="0.25">
      <c r="A1107" s="444"/>
      <c r="B1107" s="445"/>
      <c r="C1107" s="446"/>
      <c r="D1107" s="213"/>
      <c r="E1107" s="213"/>
      <c r="F1107" s="213"/>
      <c r="G1107" s="213"/>
      <c r="H1107" s="211"/>
      <c r="I1107" s="217"/>
      <c r="J1107" s="213"/>
    </row>
    <row r="1108" spans="1:10" ht="14.45" customHeight="1" x14ac:dyDescent="0.25">
      <c r="A1108" s="437" t="s">
        <v>100</v>
      </c>
      <c r="B1108" s="438"/>
      <c r="C1108" s="438"/>
      <c r="D1108" s="438"/>
      <c r="E1108" s="438"/>
      <c r="F1108" s="438"/>
      <c r="G1108" s="438"/>
      <c r="H1108" s="438"/>
      <c r="I1108" s="439"/>
      <c r="J1108" s="217">
        <f>SUM(I1104:I1107)</f>
        <v>11853.993596167256</v>
      </c>
    </row>
    <row r="1109" spans="1:10" x14ac:dyDescent="0.25">
      <c r="A1109" s="462" t="str">
        <f>+[48]PRESUPUESTO!$B$1</f>
        <v>CONSTRUCCION DE 14 METROS BOX CULVERT EN EL SECTOR BARRIO NUEVO DE SANTA RITA, CABECERA MUNICIPAL DE RIO IRÓ - DEPARTAMENTO DEL CHOCÓ</v>
      </c>
      <c r="B1109" s="462"/>
      <c r="C1109" s="462"/>
      <c r="D1109" s="462"/>
      <c r="E1109" s="462"/>
      <c r="F1109" s="462"/>
      <c r="G1109" s="462"/>
      <c r="H1109" s="462"/>
      <c r="I1109" s="462"/>
      <c r="J1109" s="462"/>
    </row>
    <row r="1110" spans="1:10" ht="29.45" customHeight="1" x14ac:dyDescent="0.25">
      <c r="A1110" s="463"/>
      <c r="B1110" s="463"/>
      <c r="C1110" s="463"/>
      <c r="D1110" s="463"/>
      <c r="E1110" s="463"/>
      <c r="F1110" s="463"/>
      <c r="G1110" s="463"/>
      <c r="H1110" s="463"/>
      <c r="I1110" s="462"/>
      <c r="J1110" s="462"/>
    </row>
    <row r="1111" spans="1:10" ht="12.2" customHeight="1" x14ac:dyDescent="0.25">
      <c r="A1111" s="256" t="s">
        <v>78</v>
      </c>
      <c r="B1111" s="455" t="s">
        <v>79</v>
      </c>
      <c r="C1111" s="455"/>
      <c r="D1111" s="455"/>
      <c r="E1111" s="455"/>
      <c r="F1111" s="455"/>
      <c r="G1111" s="455"/>
      <c r="H1111" s="455"/>
      <c r="I1111" s="257" t="s">
        <v>80</v>
      </c>
      <c r="J1111" s="258" t="s">
        <v>81</v>
      </c>
    </row>
    <row r="1112" spans="1:10" ht="21.2" customHeight="1" x14ac:dyDescent="0.25">
      <c r="A1112" s="203"/>
      <c r="B1112" s="456" t="e">
        <f>+VLOOKUP(A1112,[48]PRESUPUESTO!$B$2:$D$19,2,FALSE)</f>
        <v>#N/A</v>
      </c>
      <c r="C1112" s="457"/>
      <c r="D1112" s="457"/>
      <c r="E1112" s="457"/>
      <c r="F1112" s="457"/>
      <c r="G1112" s="457"/>
      <c r="H1112" s="458"/>
      <c r="I1112" s="204" t="e">
        <f>+VLOOKUP(A1112,[48]PRESUPUESTO!$B$2:$D$19,3,FALSE)</f>
        <v>#N/A</v>
      </c>
      <c r="J1112" s="237">
        <f>+ROUND(SUM(J1120:J1150),0)</f>
        <v>27056</v>
      </c>
    </row>
    <row r="1113" spans="1:10" x14ac:dyDescent="0.25">
      <c r="A1113" s="459" t="s">
        <v>87</v>
      </c>
      <c r="B1113" s="459"/>
      <c r="C1113" s="459"/>
      <c r="D1113" s="459"/>
      <c r="E1113" s="459"/>
      <c r="F1113" s="459"/>
      <c r="G1113" s="459"/>
      <c r="H1113" s="459"/>
      <c r="I1113" s="442"/>
      <c r="J1113" s="442"/>
    </row>
    <row r="1114" spans="1:10" x14ac:dyDescent="0.25">
      <c r="A1114" s="460" t="s">
        <v>2</v>
      </c>
      <c r="B1114" s="460"/>
      <c r="C1114" s="460"/>
      <c r="D1114" s="460"/>
      <c r="E1114" s="460"/>
      <c r="F1114" s="223" t="s">
        <v>89</v>
      </c>
      <c r="G1114" s="234" t="s">
        <v>90</v>
      </c>
      <c r="H1114" s="223" t="s">
        <v>91</v>
      </c>
      <c r="I1114" s="223" t="s">
        <v>92</v>
      </c>
      <c r="J1114" s="213"/>
    </row>
    <row r="1115" spans="1:10" x14ac:dyDescent="0.25">
      <c r="A1115" s="451" t="s">
        <v>95</v>
      </c>
      <c r="B1115" s="451"/>
      <c r="C1115" s="451"/>
      <c r="D1115" s="451"/>
      <c r="E1115" s="451"/>
      <c r="F1115" s="214"/>
      <c r="G1115" s="215">
        <v>0.05</v>
      </c>
      <c r="H1115" s="216"/>
      <c r="I1115" s="217">
        <f>+J1150*G1115</f>
        <v>592.69967980836282</v>
      </c>
      <c r="J1115" s="213"/>
    </row>
    <row r="1116" spans="1:10" x14ac:dyDescent="0.25">
      <c r="A1116" s="461" t="s">
        <v>127</v>
      </c>
      <c r="B1116" s="461"/>
      <c r="C1116" s="461"/>
      <c r="D1116" s="461"/>
      <c r="E1116" s="461"/>
      <c r="F1116" s="224" t="str">
        <f>+IF(A1116="","",VLOOKUP(A1116,[46]MATERIALES!$B$7:$D$1222,2,FALSE))</f>
        <v>DIA</v>
      </c>
      <c r="G1116" s="225">
        <f>+IF(A1116="","",VLOOKUP(A1116,[46]MATERIALES!$B$7:$E$1222,3,FALSE))</f>
        <v>32500</v>
      </c>
      <c r="H1116" s="238">
        <f>IF(A1116="","",1/H1146)</f>
        <v>3.3333333333333333E-2</v>
      </c>
      <c r="I1116" s="217">
        <f t="shared" ref="I1116:I1119" si="116">IFERROR(G1116*H1116,"")</f>
        <v>1083.3333333333333</v>
      </c>
      <c r="J1116" s="213"/>
    </row>
    <row r="1117" spans="1:10" x14ac:dyDescent="0.25">
      <c r="A1117" s="451"/>
      <c r="B1117" s="451"/>
      <c r="C1117" s="451"/>
      <c r="D1117" s="451"/>
      <c r="E1117" s="451"/>
      <c r="F1117" s="224" t="str">
        <f>+IF(A1117="","",VLOOKUP(A1117,[46]MATERIALES!$B$7:$D$1222,2,FALSE))</f>
        <v/>
      </c>
      <c r="G1117" s="225" t="str">
        <f>+IF(A1117="","",VLOOKUP(A1117,[46]MATERIALES!$B$7:$E$1222,3,FALSE))</f>
        <v/>
      </c>
      <c r="H1117" s="238" t="str">
        <f>IF(A1117="","",1/H1146)</f>
        <v/>
      </c>
      <c r="I1117" s="217" t="str">
        <f t="shared" si="116"/>
        <v/>
      </c>
      <c r="J1117" s="213"/>
    </row>
    <row r="1118" spans="1:10" x14ac:dyDescent="0.25">
      <c r="A1118" s="451"/>
      <c r="B1118" s="451"/>
      <c r="C1118" s="451"/>
      <c r="D1118" s="451"/>
      <c r="E1118" s="451"/>
      <c r="F1118" s="224" t="str">
        <f>+IF(A1118="","",VLOOKUP(A1118,[46]MATERIALES!$B$7:$D$1222,2,FALSE))</f>
        <v/>
      </c>
      <c r="G1118" s="225" t="str">
        <f>+IF(A1118="","",VLOOKUP(A1118,[46]MATERIALES!$B$7:$E$1222,3,FALSE))</f>
        <v/>
      </c>
      <c r="H1118" s="238" t="str">
        <f>IF(A1118="","",1/H1147)</f>
        <v/>
      </c>
      <c r="I1118" s="217" t="str">
        <f t="shared" si="116"/>
        <v/>
      </c>
      <c r="J1118" s="213"/>
    </row>
    <row r="1119" spans="1:10" x14ac:dyDescent="0.25">
      <c r="A1119" s="451"/>
      <c r="B1119" s="451"/>
      <c r="C1119" s="451"/>
      <c r="D1119" s="451"/>
      <c r="E1119" s="451"/>
      <c r="F1119" s="224" t="str">
        <f>+IF(A1119="","",VLOOKUP(A1119,[46]MATERIALES!$B$7:$D$1222,2,FALSE))</f>
        <v/>
      </c>
      <c r="G1119" s="225" t="str">
        <f>+IF(A1119="","",VLOOKUP(A1119,[46]MATERIALES!$B$7:$E$1222,3,FALSE))</f>
        <v/>
      </c>
      <c r="H1119" s="238"/>
      <c r="I1119" s="217" t="str">
        <f t="shared" si="116"/>
        <v/>
      </c>
      <c r="J1119" s="219"/>
    </row>
    <row r="1120" spans="1:10" x14ac:dyDescent="0.25">
      <c r="A1120" s="437" t="s">
        <v>100</v>
      </c>
      <c r="B1120" s="438"/>
      <c r="C1120" s="438"/>
      <c r="D1120" s="438"/>
      <c r="E1120" s="438"/>
      <c r="F1120" s="438"/>
      <c r="G1120" s="438"/>
      <c r="H1120" s="438"/>
      <c r="I1120" s="439"/>
      <c r="J1120" s="217">
        <f>+SUM(I1115:I1119)</f>
        <v>1676.0330131416961</v>
      </c>
    </row>
    <row r="1121" spans="1:10" x14ac:dyDescent="0.25">
      <c r="A1121" s="442" t="s">
        <v>101</v>
      </c>
      <c r="B1121" s="442"/>
      <c r="C1121" s="442"/>
      <c r="D1121" s="442"/>
      <c r="E1121" s="442"/>
      <c r="F1121" s="442"/>
      <c r="G1121" s="442"/>
      <c r="H1121" s="442"/>
      <c r="I1121" s="442"/>
      <c r="J1121" s="442"/>
    </row>
    <row r="1122" spans="1:10" x14ac:dyDescent="0.25">
      <c r="A1122" s="452" t="s">
        <v>2</v>
      </c>
      <c r="B1122" s="453"/>
      <c r="C1122" s="453"/>
      <c r="D1122" s="454"/>
      <c r="E1122" s="223" t="s">
        <v>3</v>
      </c>
      <c r="F1122" s="223" t="s">
        <v>102</v>
      </c>
      <c r="G1122" s="223" t="s">
        <v>4</v>
      </c>
      <c r="H1122" s="223" t="s">
        <v>103</v>
      </c>
      <c r="I1122" s="223" t="s">
        <v>92</v>
      </c>
      <c r="J1122" s="213"/>
    </row>
    <row r="1123" spans="1:10" x14ac:dyDescent="0.25">
      <c r="A1123" s="448" t="s">
        <v>174</v>
      </c>
      <c r="B1123" s="449"/>
      <c r="C1123" s="449"/>
      <c r="D1123" s="449"/>
      <c r="E1123" s="224" t="str">
        <f>+IF(A1123="","",VLOOKUP(A1123,[46]MATERIALES!$B$7:$D$225,2,FALSE))</f>
        <v>UN</v>
      </c>
      <c r="F1123" s="225">
        <f>+IF(A1123="","",VLOOKUP(A1123,[46]MATERIALES!$B$7:$E$225,3,FALSE))</f>
        <v>45378</v>
      </c>
      <c r="G1123" s="238">
        <v>0.16666666666666666</v>
      </c>
      <c r="H1123" s="227">
        <v>0.05</v>
      </c>
      <c r="I1123" s="217">
        <f>IFERROR(F1123*G1123*(1+H1123),"")</f>
        <v>7941.1500000000005</v>
      </c>
      <c r="J1123" s="213"/>
    </row>
    <row r="1124" spans="1:10" x14ac:dyDescent="0.25">
      <c r="A1124" s="448" t="s">
        <v>175</v>
      </c>
      <c r="B1124" s="449"/>
      <c r="C1124" s="449"/>
      <c r="D1124" s="449"/>
      <c r="E1124" s="224" t="str">
        <f>+IF(A1124="","",VLOOKUP(A1124,[46]MATERIALES!$B$7:$D$225,2,FALSE))</f>
        <v>UN</v>
      </c>
      <c r="F1124" s="225">
        <f>+IF(A1124="","",VLOOKUP(A1124,[46]MATERIALES!$B$7:$E$225,3,FALSE))</f>
        <v>2500</v>
      </c>
      <c r="G1124" s="238">
        <v>0.16666666666666666</v>
      </c>
      <c r="H1124" s="227">
        <v>0.05</v>
      </c>
      <c r="I1124" s="217">
        <f t="shared" ref="I1124:I1133" si="117">IFERROR(F1124*G1124*(1+H1124),"")</f>
        <v>437.5</v>
      </c>
      <c r="J1124" s="213"/>
    </row>
    <row r="1125" spans="1:10" x14ac:dyDescent="0.25">
      <c r="A1125" s="448" t="s">
        <v>176</v>
      </c>
      <c r="B1125" s="449"/>
      <c r="C1125" s="449"/>
      <c r="D1125" s="449"/>
      <c r="E1125" s="224" t="str">
        <f>+IF(A1125="","",VLOOKUP(A1125,[46]MATERIALES!$B$7:$D$225,2,FALSE))</f>
        <v>UN</v>
      </c>
      <c r="F1125" s="225">
        <f>+IF(A1125="","",VLOOKUP(A1125,[46]MATERIALES!$B$7:$E$225,3,FALSE))</f>
        <v>2100</v>
      </c>
      <c r="G1125" s="238">
        <v>0.16666666666666666</v>
      </c>
      <c r="H1125" s="227">
        <v>0.05</v>
      </c>
      <c r="I1125" s="217">
        <f t="shared" si="117"/>
        <v>367.5</v>
      </c>
      <c r="J1125" s="213"/>
    </row>
    <row r="1126" spans="1:10" x14ac:dyDescent="0.25">
      <c r="A1126" s="448" t="s">
        <v>177</v>
      </c>
      <c r="B1126" s="449"/>
      <c r="C1126" s="449"/>
      <c r="D1126" s="449"/>
      <c r="E1126" s="224" t="str">
        <f>+IF(A1126="","",VLOOKUP(A1126,[46]MATERIALES!$B$7:$D$225,2,FALSE))</f>
        <v>UN</v>
      </c>
      <c r="F1126" s="225">
        <f>+IF(A1126="","",VLOOKUP(A1126,[46]MATERIALES!$B$7:$E$225,3,FALSE))</f>
        <v>5800</v>
      </c>
      <c r="G1126" s="226">
        <v>0.16666666666666666</v>
      </c>
      <c r="H1126" s="227">
        <v>0.05</v>
      </c>
      <c r="I1126" s="217">
        <f t="shared" si="117"/>
        <v>1015</v>
      </c>
      <c r="J1126" s="213"/>
    </row>
    <row r="1127" spans="1:10" x14ac:dyDescent="0.25">
      <c r="A1127" s="448" t="s">
        <v>130</v>
      </c>
      <c r="B1127" s="449"/>
      <c r="C1127" s="449"/>
      <c r="D1127" s="449"/>
      <c r="E1127" s="224" t="str">
        <f>+IF(A1127="","",VLOOKUP(A1127,[46]MATERIALES!$B$7:$D$225,2,FALSE))</f>
        <v>UN</v>
      </c>
      <c r="F1127" s="225">
        <f>+IF(A1127="","",VLOOKUP(A1127,[46]MATERIALES!$B$7:$E$225,3,FALSE))</f>
        <v>85400</v>
      </c>
      <c r="G1127" s="238">
        <v>0.02</v>
      </c>
      <c r="H1127" s="227">
        <v>0.05</v>
      </c>
      <c r="I1127" s="217">
        <f t="shared" si="117"/>
        <v>1793.4</v>
      </c>
      <c r="J1127" s="213"/>
    </row>
    <row r="1128" spans="1:10" x14ac:dyDescent="0.25">
      <c r="A1128" s="448" t="s">
        <v>131</v>
      </c>
      <c r="B1128" s="449"/>
      <c r="C1128" s="449"/>
      <c r="D1128" s="449"/>
      <c r="E1128" s="224" t="str">
        <f>+IF(A1128="","",VLOOKUP(A1128,[46]MATERIALES!$B$7:$D$225,2,FALSE))</f>
        <v>un</v>
      </c>
      <c r="F1128" s="225">
        <f>+IF(A1128="","",VLOOKUP(A1128,[46]MATERIALES!$B$7:$E$225,3,FALSE))</f>
        <v>54900</v>
      </c>
      <c r="G1128" s="238">
        <v>0.02</v>
      </c>
      <c r="H1128" s="227">
        <v>0.05</v>
      </c>
      <c r="I1128" s="217">
        <f t="shared" si="117"/>
        <v>1152.9000000000001</v>
      </c>
      <c r="J1128" s="213"/>
    </row>
    <row r="1129" spans="1:10" x14ac:dyDescent="0.25">
      <c r="A1129" s="448" t="s">
        <v>132</v>
      </c>
      <c r="B1129" s="449"/>
      <c r="C1129" s="449"/>
      <c r="D1129" s="449"/>
      <c r="E1129" s="224" t="str">
        <f>+IF(A1129="","",VLOOKUP(A1129,[46]MATERIALES!$B$7:$D$225,2,FALSE))</f>
        <v>Libra</v>
      </c>
      <c r="F1129" s="225">
        <f>+IF(A1129="","",VLOOKUP(A1129,[46]MATERIALES!$B$7:$E$225,3,FALSE))</f>
        <v>7800</v>
      </c>
      <c r="G1129" s="226">
        <v>0.1</v>
      </c>
      <c r="H1129" s="227">
        <v>0.05</v>
      </c>
      <c r="I1129" s="217">
        <f t="shared" si="117"/>
        <v>819</v>
      </c>
      <c r="J1129" s="213"/>
    </row>
    <row r="1130" spans="1:10" x14ac:dyDescent="0.25">
      <c r="A1130" s="448"/>
      <c r="B1130" s="449"/>
      <c r="C1130" s="449"/>
      <c r="D1130" s="450"/>
      <c r="E1130" s="224" t="str">
        <f>+IF(A1130="","",VLOOKUP(A1130,[46]MATERIALES!$B$7:$D$225,2,FALSE))</f>
        <v/>
      </c>
      <c r="F1130" s="225" t="str">
        <f>+IF(A1130="","",VLOOKUP(A1130,[46]MATERIALES!$B$7:$E$225,3,FALSE))</f>
        <v/>
      </c>
      <c r="G1130" s="226"/>
      <c r="H1130" s="227"/>
      <c r="I1130" s="217" t="str">
        <f t="shared" si="117"/>
        <v/>
      </c>
      <c r="J1130" s="213"/>
    </row>
    <row r="1131" spans="1:10" x14ac:dyDescent="0.25">
      <c r="A1131" s="448"/>
      <c r="B1131" s="449"/>
      <c r="C1131" s="449"/>
      <c r="D1131" s="449"/>
      <c r="E1131" s="224" t="str">
        <f>+IF(A1131="","",VLOOKUP(A1131,[46]MATERIALES!$B$7:$D$225,2,FALSE))</f>
        <v/>
      </c>
      <c r="F1131" s="225" t="str">
        <f>+IF(A1131="","",VLOOKUP(A1131,[46]MATERIALES!$B$7:$E$225,3,FALSE))</f>
        <v/>
      </c>
      <c r="G1131" s="226"/>
      <c r="H1131" s="227"/>
      <c r="I1131" s="217" t="str">
        <f t="shared" si="117"/>
        <v/>
      </c>
      <c r="J1131" s="213"/>
    </row>
    <row r="1132" spans="1:10" x14ac:dyDescent="0.25">
      <c r="A1132" s="444"/>
      <c r="B1132" s="445"/>
      <c r="C1132" s="445"/>
      <c r="D1132" s="445"/>
      <c r="E1132" s="224" t="str">
        <f>+IF(A1132="","",VLOOKUP(A1132,[46]MATERIALES!$B$7:$D$225,2,FALSE))</f>
        <v/>
      </c>
      <c r="F1132" s="225" t="str">
        <f>+IF(A1132="","",VLOOKUP(A1132,[46]MATERIALES!$B$7:$E$225,3,FALSE))</f>
        <v/>
      </c>
      <c r="G1132" s="226"/>
      <c r="H1132" s="227"/>
      <c r="I1132" s="217" t="str">
        <f t="shared" si="117"/>
        <v/>
      </c>
      <c r="J1132" s="213"/>
    </row>
    <row r="1133" spans="1:10" x14ac:dyDescent="0.25">
      <c r="A1133" s="444"/>
      <c r="B1133" s="445"/>
      <c r="C1133" s="445"/>
      <c r="D1133" s="445"/>
      <c r="E1133" s="224" t="str">
        <f>+IF(A1133="","",VLOOKUP(A1133,[46]MATERIALES!$B$7:$D$225,2,FALSE))</f>
        <v/>
      </c>
      <c r="F1133" s="225" t="str">
        <f>+IF(A1133="","",VLOOKUP(A1133,[46]MATERIALES!$B$7:$E$225,3,FALSE))</f>
        <v/>
      </c>
      <c r="G1133" s="226"/>
      <c r="H1133" s="227"/>
      <c r="I1133" s="217" t="str">
        <f t="shared" si="117"/>
        <v/>
      </c>
      <c r="J1133" s="213"/>
    </row>
    <row r="1134" spans="1:10" x14ac:dyDescent="0.25">
      <c r="A1134" s="444"/>
      <c r="B1134" s="445"/>
      <c r="C1134" s="445"/>
      <c r="D1134" s="445"/>
      <c r="E1134" s="224"/>
      <c r="F1134" s="225"/>
      <c r="G1134" s="226"/>
      <c r="H1134" s="227"/>
      <c r="I1134" s="217"/>
      <c r="J1134" s="213"/>
    </row>
    <row r="1135" spans="1:10" x14ac:dyDescent="0.25">
      <c r="A1135" s="444"/>
      <c r="B1135" s="445"/>
      <c r="C1135" s="445"/>
      <c r="D1135" s="445"/>
      <c r="E1135" s="213"/>
      <c r="F1135" s="214"/>
      <c r="G1135" s="218"/>
      <c r="H1135" s="227"/>
      <c r="I1135" s="217">
        <f>IFERROR(F1135*G1135*(1+H1135),"")</f>
        <v>0</v>
      </c>
      <c r="J1135" s="213"/>
    </row>
    <row r="1136" spans="1:10" x14ac:dyDescent="0.25">
      <c r="A1136" s="437" t="s">
        <v>100</v>
      </c>
      <c r="B1136" s="438"/>
      <c r="C1136" s="438"/>
      <c r="D1136" s="438"/>
      <c r="E1136" s="438"/>
      <c r="F1136" s="438"/>
      <c r="G1136" s="438"/>
      <c r="H1136" s="438"/>
      <c r="I1136" s="439"/>
      <c r="J1136" s="217">
        <f>SUM(I1123:I1135)</f>
        <v>13526.45</v>
      </c>
    </row>
    <row r="1137" spans="1:10" x14ac:dyDescent="0.25">
      <c r="A1137" s="442" t="s">
        <v>106</v>
      </c>
      <c r="B1137" s="442"/>
      <c r="C1137" s="442"/>
      <c r="D1137" s="442"/>
      <c r="E1137" s="442"/>
      <c r="F1137" s="442"/>
      <c r="G1137" s="442"/>
      <c r="H1137" s="442"/>
      <c r="I1137" s="442"/>
      <c r="J1137" s="442"/>
    </row>
    <row r="1138" spans="1:10" ht="22.5" x14ac:dyDescent="0.25">
      <c r="A1138" s="443" t="s">
        <v>107</v>
      </c>
      <c r="B1138" s="443"/>
      <c r="C1138" s="443"/>
      <c r="D1138" s="443"/>
      <c r="E1138" s="223" t="s">
        <v>108</v>
      </c>
      <c r="F1138" s="230" t="s">
        <v>109</v>
      </c>
      <c r="G1138" s="223" t="s">
        <v>110</v>
      </c>
      <c r="H1138" s="223" t="s">
        <v>111</v>
      </c>
      <c r="I1138" s="223" t="s">
        <v>92</v>
      </c>
      <c r="J1138" s="213"/>
    </row>
    <row r="1139" spans="1:10" x14ac:dyDescent="0.25">
      <c r="A1139" s="447" t="s">
        <v>160</v>
      </c>
      <c r="B1139" s="447"/>
      <c r="C1139" s="447"/>
      <c r="D1139" s="447"/>
      <c r="E1139" s="216" t="e">
        <f>+IF(A1139="","",VLOOKUP(A1139,[46]MATERIALES!$B$7:$E$1222,2,FALSE))</f>
        <v>#N/A</v>
      </c>
      <c r="F1139" s="224">
        <f>0.1*0.1</f>
        <v>1.0000000000000002E-2</v>
      </c>
      <c r="G1139" s="231" t="e">
        <f>+IF(A1139="","",VLOOKUP(A1139,[46]MATERIALES!$B$7:$E$1222,4,FALSE))</f>
        <v>#N/A</v>
      </c>
      <c r="H1139" s="216" t="e">
        <f>+IF(A1139="","",VLOOKUP(A1139,[46]MATERIALES!$B$7:$E$1222,3,FALSE))</f>
        <v>#N/A</v>
      </c>
      <c r="I1139" s="217" t="str">
        <f>IFERROR(G1139*H1139*F1139,"")</f>
        <v/>
      </c>
      <c r="J1139" s="213"/>
    </row>
    <row r="1140" spans="1:10" x14ac:dyDescent="0.25">
      <c r="A1140" s="447"/>
      <c r="B1140" s="447"/>
      <c r="C1140" s="447"/>
      <c r="D1140" s="447"/>
      <c r="E1140" s="216" t="str">
        <f>+IF(A1140="","",VLOOKUP(A1140,[46]MATERIALES!$B$7:$E$1222,2,FALSE))</f>
        <v/>
      </c>
      <c r="F1140" s="224"/>
      <c r="G1140" s="231" t="str">
        <f>+IF(A1140="","",VLOOKUP(A1140,[46]MATERIALES!$B$7:$E$1222,4,FALSE))</f>
        <v/>
      </c>
      <c r="H1140" s="216" t="str">
        <f>+IF(A1140="","",VLOOKUP(A1140,[46]MATERIALES!$B$7:$E$1222,3,FALSE))</f>
        <v/>
      </c>
      <c r="I1140" s="217" t="str">
        <f>IFERROR(G1140*H1140*F1140,"")</f>
        <v/>
      </c>
      <c r="J1140" s="213"/>
    </row>
    <row r="1141" spans="1:10" x14ac:dyDescent="0.25">
      <c r="A1141" s="447"/>
      <c r="B1141" s="447"/>
      <c r="C1141" s="447"/>
      <c r="D1141" s="447"/>
      <c r="E1141" s="213"/>
      <c r="F1141" s="214"/>
      <c r="G1141" s="233"/>
      <c r="H1141" s="216"/>
      <c r="I1141" s="219"/>
      <c r="J1141" s="213"/>
    </row>
    <row r="1142" spans="1:10" x14ac:dyDescent="0.25">
      <c r="A1142" s="447"/>
      <c r="B1142" s="447"/>
      <c r="C1142" s="447"/>
      <c r="D1142" s="447"/>
      <c r="E1142" s="213"/>
      <c r="F1142" s="213"/>
      <c r="G1142" s="213"/>
      <c r="H1142" s="211"/>
      <c r="I1142" s="213"/>
      <c r="J1142" s="213"/>
    </row>
    <row r="1143" spans="1:10" x14ac:dyDescent="0.25">
      <c r="A1143" s="437" t="s">
        <v>100</v>
      </c>
      <c r="B1143" s="438"/>
      <c r="C1143" s="438"/>
      <c r="D1143" s="438"/>
      <c r="E1143" s="438"/>
      <c r="F1143" s="438"/>
      <c r="G1143" s="438"/>
      <c r="H1143" s="438"/>
      <c r="I1143" s="439"/>
      <c r="J1143" s="217">
        <f>SUM(I1139:I1142)</f>
        <v>0</v>
      </c>
    </row>
    <row r="1144" spans="1:10" x14ac:dyDescent="0.25">
      <c r="A1144" s="442" t="s">
        <v>112</v>
      </c>
      <c r="B1144" s="442"/>
      <c r="C1144" s="442"/>
      <c r="D1144" s="442"/>
      <c r="E1144" s="442"/>
      <c r="F1144" s="442"/>
      <c r="G1144" s="442"/>
      <c r="H1144" s="442"/>
      <c r="I1144" s="442"/>
      <c r="J1144" s="442"/>
    </row>
    <row r="1145" spans="1:10" x14ac:dyDescent="0.25">
      <c r="A1145" s="443" t="s">
        <v>113</v>
      </c>
      <c r="B1145" s="443"/>
      <c r="C1145" s="443"/>
      <c r="D1145" s="443"/>
      <c r="E1145" s="223" t="s">
        <v>114</v>
      </c>
      <c r="F1145" s="223" t="s">
        <v>115</v>
      </c>
      <c r="G1145" s="234" t="s">
        <v>116</v>
      </c>
      <c r="H1145" s="223" t="s">
        <v>91</v>
      </c>
      <c r="I1145" s="223" t="s">
        <v>92</v>
      </c>
      <c r="J1145" s="213"/>
    </row>
    <row r="1146" spans="1:10" x14ac:dyDescent="0.25">
      <c r="A1146" s="444" t="s">
        <v>99</v>
      </c>
      <c r="B1146" s="445"/>
      <c r="C1146" s="446"/>
      <c r="D1146" s="211">
        <v>1</v>
      </c>
      <c r="E1146" s="235">
        <f>+IF(D1146="","",VLOOKUP(A1146,$L$4:$O$10,3,FALSE))</f>
        <v>142350</v>
      </c>
      <c r="F1146" s="236">
        <f>+IF(D1146="","",(VLOOKUP(A1146,$L$4:$O$10,4,FALSE))+1)</f>
        <v>1.5821008628015805</v>
      </c>
      <c r="G1146" s="219">
        <f>+IFERROR(F1146*E1146*D1146,"")</f>
        <v>225212.05781980499</v>
      </c>
      <c r="H1146" s="216">
        <v>30</v>
      </c>
      <c r="I1146" s="217">
        <f>IFERROR(G1146/H1146,"")</f>
        <v>7507.0685939935001</v>
      </c>
      <c r="J1146" s="213"/>
    </row>
    <row r="1147" spans="1:10" ht="13.35" customHeight="1" x14ac:dyDescent="0.25">
      <c r="A1147" s="444" t="s">
        <v>93</v>
      </c>
      <c r="B1147" s="445"/>
      <c r="C1147" s="446"/>
      <c r="D1147" s="211">
        <v>1</v>
      </c>
      <c r="E1147" s="235">
        <f>+IF(D1147="","",VLOOKUP(A1147,$L$4:$O$10,3,FALSE))</f>
        <v>77842</v>
      </c>
      <c r="F1147" s="236">
        <f>+IF(D1147="","",(VLOOKUP(A1147,$L$4:$O$10,4,FALSE))+1)</f>
        <v>1.6752877632282406</v>
      </c>
      <c r="G1147" s="219">
        <f>+IFERROR(F1147*E1147*D1147,"")</f>
        <v>130407.75006521271</v>
      </c>
      <c r="H1147" s="216">
        <f>+H1146</f>
        <v>30</v>
      </c>
      <c r="I1147" s="217">
        <f t="shared" ref="I1147:I1148" si="118">IFERROR(G1147/H1147,"")</f>
        <v>4346.9250021737571</v>
      </c>
      <c r="J1147" s="213"/>
    </row>
    <row r="1148" spans="1:10" ht="13.35" customHeight="1" x14ac:dyDescent="0.25">
      <c r="A1148" s="444"/>
      <c r="B1148" s="445"/>
      <c r="C1148" s="446"/>
      <c r="D1148" s="211"/>
      <c r="E1148" s="235" t="str">
        <f>+IF(D1148="","",VLOOKUP(A1148,$L$4:$O$10,3,FALSE))</f>
        <v/>
      </c>
      <c r="F1148" s="236" t="str">
        <f>+IF(D1148="","",(VLOOKUP(A1148,$L$4:$O$10,4,FALSE))+1)</f>
        <v/>
      </c>
      <c r="G1148" s="219" t="str">
        <f>+IFERROR(F1148*E1148*D1148,"")</f>
        <v/>
      </c>
      <c r="H1148" s="216" t="str">
        <f>+IF(D1148="","",IFERROR(H1147,""))</f>
        <v/>
      </c>
      <c r="I1148" s="217" t="str">
        <f t="shared" si="118"/>
        <v/>
      </c>
      <c r="J1148" s="213"/>
    </row>
    <row r="1149" spans="1:10" x14ac:dyDescent="0.25">
      <c r="A1149" s="444"/>
      <c r="B1149" s="445"/>
      <c r="C1149" s="446"/>
      <c r="D1149" s="213"/>
      <c r="E1149" s="213"/>
      <c r="F1149" s="213"/>
      <c r="G1149" s="213"/>
      <c r="H1149" s="211"/>
      <c r="I1149" s="217"/>
      <c r="J1149" s="213"/>
    </row>
    <row r="1150" spans="1:10" ht="14.45" customHeight="1" x14ac:dyDescent="0.25">
      <c r="A1150" s="437" t="s">
        <v>100</v>
      </c>
      <c r="B1150" s="438"/>
      <c r="C1150" s="438"/>
      <c r="D1150" s="438"/>
      <c r="E1150" s="438"/>
      <c r="F1150" s="438"/>
      <c r="G1150" s="438"/>
      <c r="H1150" s="438"/>
      <c r="I1150" s="439"/>
      <c r="J1150" s="217">
        <f>SUM(I1146:I1149)</f>
        <v>11853.993596167256</v>
      </c>
    </row>
    <row r="1151" spans="1:10" x14ac:dyDescent="0.25">
      <c r="A1151" s="462" t="str">
        <f>+[48]PRESUPUESTO!$B$1</f>
        <v>CONSTRUCCION DE 14 METROS BOX CULVERT EN EL SECTOR BARRIO NUEVO DE SANTA RITA, CABECERA MUNICIPAL DE RIO IRÓ - DEPARTAMENTO DEL CHOCÓ</v>
      </c>
      <c r="B1151" s="462"/>
      <c r="C1151" s="462"/>
      <c r="D1151" s="462"/>
      <c r="E1151" s="462"/>
      <c r="F1151" s="462"/>
      <c r="G1151" s="462"/>
      <c r="H1151" s="462"/>
      <c r="I1151" s="462"/>
      <c r="J1151" s="462"/>
    </row>
    <row r="1152" spans="1:10" ht="29.45" customHeight="1" x14ac:dyDescent="0.25">
      <c r="A1152" s="463"/>
      <c r="B1152" s="463"/>
      <c r="C1152" s="463"/>
      <c r="D1152" s="463"/>
      <c r="E1152" s="463"/>
      <c r="F1152" s="463"/>
      <c r="G1152" s="463"/>
      <c r="H1152" s="463"/>
      <c r="I1152" s="462"/>
      <c r="J1152" s="462"/>
    </row>
    <row r="1153" spans="1:10" ht="12.2" customHeight="1" x14ac:dyDescent="0.25">
      <c r="A1153" s="256" t="s">
        <v>78</v>
      </c>
      <c r="B1153" s="455" t="s">
        <v>79</v>
      </c>
      <c r="C1153" s="455"/>
      <c r="D1153" s="455"/>
      <c r="E1153" s="455"/>
      <c r="F1153" s="455"/>
      <c r="G1153" s="455"/>
      <c r="H1153" s="455"/>
      <c r="I1153" s="257" t="s">
        <v>80</v>
      </c>
      <c r="J1153" s="258" t="s">
        <v>81</v>
      </c>
    </row>
    <row r="1154" spans="1:10" ht="21.2" customHeight="1" x14ac:dyDescent="0.25">
      <c r="A1154" s="203">
        <v>8.07</v>
      </c>
      <c r="B1154" s="456" t="e">
        <f>+VLOOKUP(A1154,[48]PRESUPUESTO!$B$2:$D$19,2,FALSE)</f>
        <v>#N/A</v>
      </c>
      <c r="C1154" s="457"/>
      <c r="D1154" s="457"/>
      <c r="E1154" s="457"/>
      <c r="F1154" s="457"/>
      <c r="G1154" s="457"/>
      <c r="H1154" s="458"/>
      <c r="I1154" s="204" t="e">
        <f>+VLOOKUP(A1154,[48]PRESUPUESTO!$B$2:$D$19,3,FALSE)</f>
        <v>#N/A</v>
      </c>
      <c r="J1154" s="237">
        <f>+ROUND(SUM(J1162:J1192),0)</f>
        <v>38425</v>
      </c>
    </row>
    <row r="1155" spans="1:10" x14ac:dyDescent="0.25">
      <c r="A1155" s="459" t="s">
        <v>87</v>
      </c>
      <c r="B1155" s="459"/>
      <c r="C1155" s="459"/>
      <c r="D1155" s="459"/>
      <c r="E1155" s="459"/>
      <c r="F1155" s="459"/>
      <c r="G1155" s="459"/>
      <c r="H1155" s="459"/>
      <c r="I1155" s="442"/>
      <c r="J1155" s="442"/>
    </row>
    <row r="1156" spans="1:10" x14ac:dyDescent="0.25">
      <c r="A1156" s="460" t="s">
        <v>2</v>
      </c>
      <c r="B1156" s="460"/>
      <c r="C1156" s="460"/>
      <c r="D1156" s="460"/>
      <c r="E1156" s="460"/>
      <c r="F1156" s="223" t="s">
        <v>89</v>
      </c>
      <c r="G1156" s="234" t="s">
        <v>90</v>
      </c>
      <c r="H1156" s="223" t="s">
        <v>91</v>
      </c>
      <c r="I1156" s="223" t="s">
        <v>92</v>
      </c>
      <c r="J1156" s="213"/>
    </row>
    <row r="1157" spans="1:10" x14ac:dyDescent="0.25">
      <c r="A1157" s="451" t="s">
        <v>95</v>
      </c>
      <c r="B1157" s="451"/>
      <c r="C1157" s="451"/>
      <c r="D1157" s="451"/>
      <c r="E1157" s="451"/>
      <c r="F1157" s="214"/>
      <c r="G1157" s="215">
        <v>0.05</v>
      </c>
      <c r="H1157" s="216"/>
      <c r="I1157" s="217">
        <f>+J1192*G1157</f>
        <v>592.69967980836282</v>
      </c>
      <c r="J1157" s="213"/>
    </row>
    <row r="1158" spans="1:10" x14ac:dyDescent="0.25">
      <c r="A1158" s="461" t="s">
        <v>127</v>
      </c>
      <c r="B1158" s="461"/>
      <c r="C1158" s="461"/>
      <c r="D1158" s="461"/>
      <c r="E1158" s="461"/>
      <c r="F1158" s="224" t="str">
        <f>+IF(A1158="","",VLOOKUP(A1158,[46]MATERIALES!$B$7:$D$1222,2,FALSE))</f>
        <v>DIA</v>
      </c>
      <c r="G1158" s="225">
        <f>+IF(A1158="","",VLOOKUP(A1158,[46]MATERIALES!$B$7:$E$1222,3,FALSE))</f>
        <v>32500</v>
      </c>
      <c r="H1158" s="238">
        <f>IF(A1158="","",1/H1188)</f>
        <v>3.3333333333333333E-2</v>
      </c>
      <c r="I1158" s="217">
        <f t="shared" ref="I1158:I1161" si="119">IFERROR(G1158*H1158,"")</f>
        <v>1083.3333333333333</v>
      </c>
      <c r="J1158" s="213"/>
    </row>
    <row r="1159" spans="1:10" x14ac:dyDescent="0.25">
      <c r="A1159" s="451"/>
      <c r="B1159" s="451"/>
      <c r="C1159" s="451"/>
      <c r="D1159" s="451"/>
      <c r="E1159" s="451"/>
      <c r="F1159" s="224" t="str">
        <f>+IF(A1159="","",VLOOKUP(A1159,[46]MATERIALES!$B$7:$D$1222,2,FALSE))</f>
        <v/>
      </c>
      <c r="G1159" s="225" t="str">
        <f>+IF(A1159="","",VLOOKUP(A1159,[46]MATERIALES!$B$7:$E$1222,3,FALSE))</f>
        <v/>
      </c>
      <c r="H1159" s="238" t="str">
        <f>IF(A1159="","",1/H1188)</f>
        <v/>
      </c>
      <c r="I1159" s="217" t="str">
        <f t="shared" si="119"/>
        <v/>
      </c>
      <c r="J1159" s="213"/>
    </row>
    <row r="1160" spans="1:10" x14ac:dyDescent="0.25">
      <c r="A1160" s="451"/>
      <c r="B1160" s="451"/>
      <c r="C1160" s="451"/>
      <c r="D1160" s="451"/>
      <c r="E1160" s="451"/>
      <c r="F1160" s="224" t="str">
        <f>+IF(A1160="","",VLOOKUP(A1160,[46]MATERIALES!$B$7:$D$1222,2,FALSE))</f>
        <v/>
      </c>
      <c r="G1160" s="225" t="str">
        <f>+IF(A1160="","",VLOOKUP(A1160,[46]MATERIALES!$B$7:$E$1222,3,FALSE))</f>
        <v/>
      </c>
      <c r="H1160" s="238" t="str">
        <f>IF(A1160="","",1/H1189)</f>
        <v/>
      </c>
      <c r="I1160" s="217" t="str">
        <f t="shared" si="119"/>
        <v/>
      </c>
      <c r="J1160" s="213"/>
    </row>
    <row r="1161" spans="1:10" x14ac:dyDescent="0.25">
      <c r="A1161" s="451"/>
      <c r="B1161" s="451"/>
      <c r="C1161" s="451"/>
      <c r="D1161" s="451"/>
      <c r="E1161" s="451"/>
      <c r="F1161" s="224" t="str">
        <f>+IF(A1161="","",VLOOKUP(A1161,[46]MATERIALES!$B$7:$D$1222,2,FALSE))</f>
        <v/>
      </c>
      <c r="G1161" s="225" t="str">
        <f>+IF(A1161="","",VLOOKUP(A1161,[46]MATERIALES!$B$7:$E$1222,3,FALSE))</f>
        <v/>
      </c>
      <c r="H1161" s="238"/>
      <c r="I1161" s="217" t="str">
        <f t="shared" si="119"/>
        <v/>
      </c>
      <c r="J1161" s="219"/>
    </row>
    <row r="1162" spans="1:10" x14ac:dyDescent="0.25">
      <c r="A1162" s="437" t="s">
        <v>100</v>
      </c>
      <c r="B1162" s="438"/>
      <c r="C1162" s="438"/>
      <c r="D1162" s="438"/>
      <c r="E1162" s="438"/>
      <c r="F1162" s="438"/>
      <c r="G1162" s="438"/>
      <c r="H1162" s="438"/>
      <c r="I1162" s="439"/>
      <c r="J1162" s="217">
        <f>+SUM(I1157:I1161)</f>
        <v>1676.0330131416961</v>
      </c>
    </row>
    <row r="1163" spans="1:10" x14ac:dyDescent="0.25">
      <c r="A1163" s="442" t="s">
        <v>101</v>
      </c>
      <c r="B1163" s="442"/>
      <c r="C1163" s="442"/>
      <c r="D1163" s="442"/>
      <c r="E1163" s="442"/>
      <c r="F1163" s="442"/>
      <c r="G1163" s="442"/>
      <c r="H1163" s="442"/>
      <c r="I1163" s="442"/>
      <c r="J1163" s="442"/>
    </row>
    <row r="1164" spans="1:10" x14ac:dyDescent="0.25">
      <c r="A1164" s="452" t="s">
        <v>2</v>
      </c>
      <c r="B1164" s="453"/>
      <c r="C1164" s="453"/>
      <c r="D1164" s="454"/>
      <c r="E1164" s="223" t="s">
        <v>3</v>
      </c>
      <c r="F1164" s="223" t="s">
        <v>102</v>
      </c>
      <c r="G1164" s="223" t="s">
        <v>4</v>
      </c>
      <c r="H1164" s="223" t="s">
        <v>103</v>
      </c>
      <c r="I1164" s="223" t="s">
        <v>92</v>
      </c>
      <c r="J1164" s="213"/>
    </row>
    <row r="1165" spans="1:10" x14ac:dyDescent="0.25">
      <c r="A1165" s="448" t="s">
        <v>128</v>
      </c>
      <c r="B1165" s="449"/>
      <c r="C1165" s="449"/>
      <c r="D1165" s="449"/>
      <c r="E1165" s="224" t="str">
        <f>+IF(A1165="","",VLOOKUP(A1165,[46]MATERIALES!$B$7:$D$225,2,FALSE))</f>
        <v>UN</v>
      </c>
      <c r="F1165" s="225">
        <f>+IF(A1165="","",VLOOKUP(A1165,[46]MATERIALES!$B$7:$E$225,3,FALSE))</f>
        <v>78400</v>
      </c>
      <c r="G1165" s="238">
        <v>0.16666666666666666</v>
      </c>
      <c r="H1165" s="227">
        <v>0.05</v>
      </c>
      <c r="I1165" s="217">
        <f>IFERROR(F1165*G1165*(1+H1165),"")</f>
        <v>13720</v>
      </c>
      <c r="J1165" s="213"/>
    </row>
    <row r="1166" spans="1:10" x14ac:dyDescent="0.25">
      <c r="A1166" s="448" t="s">
        <v>178</v>
      </c>
      <c r="B1166" s="449"/>
      <c r="C1166" s="449"/>
      <c r="D1166" s="449"/>
      <c r="E1166" s="224" t="str">
        <f>+IF(A1166="","",VLOOKUP(A1166,[46]MATERIALES!$B$7:$D$225,2,FALSE))</f>
        <v>UN</v>
      </c>
      <c r="F1166" s="225">
        <f>+IF(A1166="","",VLOOKUP(A1166,[46]MATERIALES!$B$7:$E$225,3,FALSE))</f>
        <v>10500</v>
      </c>
      <c r="G1166" s="238">
        <v>0.16666666666666666</v>
      </c>
      <c r="H1166" s="227">
        <v>0.05</v>
      </c>
      <c r="I1166" s="217">
        <f t="shared" ref="I1166:I1175" si="120">IFERROR(F1166*G1166*(1+H1166),"")</f>
        <v>1837.5</v>
      </c>
      <c r="J1166" s="213"/>
    </row>
    <row r="1167" spans="1:10" x14ac:dyDescent="0.25">
      <c r="A1167" s="448" t="s">
        <v>129</v>
      </c>
      <c r="B1167" s="449"/>
      <c r="C1167" s="449"/>
      <c r="D1167" s="449"/>
      <c r="E1167" s="224" t="str">
        <f>+IF(A1167="","",VLOOKUP(A1167,[46]MATERIALES!$B$7:$D$225,2,FALSE))</f>
        <v>UN</v>
      </c>
      <c r="F1167" s="225">
        <f>+IF(A1167="","",VLOOKUP(A1167,[46]MATERIALES!$B$7:$E$225,3,FALSE))</f>
        <v>5800</v>
      </c>
      <c r="G1167" s="238">
        <v>0.16666666666666666</v>
      </c>
      <c r="H1167" s="227">
        <v>0.05</v>
      </c>
      <c r="I1167" s="217">
        <f t="shared" si="120"/>
        <v>1015</v>
      </c>
      <c r="J1167" s="213"/>
    </row>
    <row r="1168" spans="1:10" x14ac:dyDescent="0.25">
      <c r="A1168" s="448" t="s">
        <v>179</v>
      </c>
      <c r="B1168" s="449"/>
      <c r="C1168" s="449"/>
      <c r="D1168" s="449"/>
      <c r="E1168" s="224" t="str">
        <f>+IF(A1168="","",VLOOKUP(A1168,[46]MATERIALES!$B$7:$D$225,2,FALSE))</f>
        <v>UN</v>
      </c>
      <c r="F1168" s="225">
        <f>+IF(A1168="","",VLOOKUP(A1168,[46]MATERIALES!$B$7:$E$225,3,FALSE))</f>
        <v>20800</v>
      </c>
      <c r="G1168" s="226">
        <v>0.16666666666666666</v>
      </c>
      <c r="H1168" s="227">
        <v>0.05</v>
      </c>
      <c r="I1168" s="217">
        <f t="shared" si="120"/>
        <v>3640</v>
      </c>
      <c r="J1168" s="213"/>
    </row>
    <row r="1169" spans="1:10" x14ac:dyDescent="0.25">
      <c r="A1169" s="448" t="s">
        <v>130</v>
      </c>
      <c r="B1169" s="449"/>
      <c r="C1169" s="449"/>
      <c r="D1169" s="449"/>
      <c r="E1169" s="224" t="str">
        <f>+IF(A1169="","",VLOOKUP(A1169,[46]MATERIALES!$B$7:$D$225,2,FALSE))</f>
        <v>UN</v>
      </c>
      <c r="F1169" s="225">
        <f>+IF(A1169="","",VLOOKUP(A1169,[46]MATERIALES!$B$7:$E$225,3,FALSE))</f>
        <v>85400</v>
      </c>
      <c r="G1169" s="238">
        <v>2.4E-2</v>
      </c>
      <c r="H1169" s="227">
        <v>0.05</v>
      </c>
      <c r="I1169" s="217">
        <f t="shared" si="120"/>
        <v>2152.08</v>
      </c>
      <c r="J1169" s="213"/>
    </row>
    <row r="1170" spans="1:10" x14ac:dyDescent="0.25">
      <c r="A1170" s="448" t="s">
        <v>131</v>
      </c>
      <c r="B1170" s="449"/>
      <c r="C1170" s="449"/>
      <c r="D1170" s="449"/>
      <c r="E1170" s="224" t="str">
        <f>+IF(A1170="","",VLOOKUP(A1170,[46]MATERIALES!$B$7:$D$225,2,FALSE))</f>
        <v>un</v>
      </c>
      <c r="F1170" s="225">
        <f>+IF(A1170="","",VLOOKUP(A1170,[46]MATERIALES!$B$7:$E$225,3,FALSE))</f>
        <v>54900</v>
      </c>
      <c r="G1170" s="238">
        <v>2.4E-2</v>
      </c>
      <c r="H1170" s="227">
        <v>0.05</v>
      </c>
      <c r="I1170" s="217">
        <f t="shared" si="120"/>
        <v>1383.4800000000002</v>
      </c>
      <c r="J1170" s="213"/>
    </row>
    <row r="1171" spans="1:10" x14ac:dyDescent="0.25">
      <c r="A1171" s="448" t="s">
        <v>132</v>
      </c>
      <c r="B1171" s="449"/>
      <c r="C1171" s="449"/>
      <c r="D1171" s="449"/>
      <c r="E1171" s="224" t="str">
        <f>+IF(A1171="","",VLOOKUP(A1171,[46]MATERIALES!$B$7:$D$225,2,FALSE))</f>
        <v>Libra</v>
      </c>
      <c r="F1171" s="225">
        <f>+IF(A1171="","",VLOOKUP(A1171,[46]MATERIALES!$B$7:$E$225,3,FALSE))</f>
        <v>7800</v>
      </c>
      <c r="G1171" s="226">
        <v>0.14000000000000001</v>
      </c>
      <c r="H1171" s="227">
        <v>0.05</v>
      </c>
      <c r="I1171" s="217">
        <f t="shared" si="120"/>
        <v>1146.6000000000001</v>
      </c>
      <c r="J1171" s="213"/>
    </row>
    <row r="1172" spans="1:10" x14ac:dyDescent="0.25">
      <c r="A1172" s="448"/>
      <c r="B1172" s="449"/>
      <c r="C1172" s="449"/>
      <c r="D1172" s="450"/>
      <c r="E1172" s="224" t="str">
        <f>+IF(A1172="","",VLOOKUP(A1172,[46]MATERIALES!$B$7:$D$225,2,FALSE))</f>
        <v/>
      </c>
      <c r="F1172" s="225" t="str">
        <f>+IF(A1172="","",VLOOKUP(A1172,[46]MATERIALES!$B$7:$E$225,3,FALSE))</f>
        <v/>
      </c>
      <c r="G1172" s="226"/>
      <c r="H1172" s="227"/>
      <c r="I1172" s="217" t="str">
        <f t="shared" si="120"/>
        <v/>
      </c>
      <c r="J1172" s="213"/>
    </row>
    <row r="1173" spans="1:10" x14ac:dyDescent="0.25">
      <c r="A1173" s="448"/>
      <c r="B1173" s="449"/>
      <c r="C1173" s="449"/>
      <c r="D1173" s="449"/>
      <c r="E1173" s="224" t="str">
        <f>+IF(A1173="","",VLOOKUP(A1173,[46]MATERIALES!$B$7:$D$225,2,FALSE))</f>
        <v/>
      </c>
      <c r="F1173" s="225" t="str">
        <f>+IF(A1173="","",VLOOKUP(A1173,[46]MATERIALES!$B$7:$E$225,3,FALSE))</f>
        <v/>
      </c>
      <c r="G1173" s="226"/>
      <c r="H1173" s="227"/>
      <c r="I1173" s="217" t="str">
        <f t="shared" si="120"/>
        <v/>
      </c>
      <c r="J1173" s="213"/>
    </row>
    <row r="1174" spans="1:10" x14ac:dyDescent="0.25">
      <c r="A1174" s="444"/>
      <c r="B1174" s="445"/>
      <c r="C1174" s="445"/>
      <c r="D1174" s="445"/>
      <c r="E1174" s="224" t="str">
        <f>+IF(A1174="","",VLOOKUP(A1174,[46]MATERIALES!$B$7:$D$225,2,FALSE))</f>
        <v/>
      </c>
      <c r="F1174" s="225" t="str">
        <f>+IF(A1174="","",VLOOKUP(A1174,[46]MATERIALES!$B$7:$E$225,3,FALSE))</f>
        <v/>
      </c>
      <c r="G1174" s="226"/>
      <c r="H1174" s="227"/>
      <c r="I1174" s="217" t="str">
        <f t="shared" si="120"/>
        <v/>
      </c>
      <c r="J1174" s="213"/>
    </row>
    <row r="1175" spans="1:10" x14ac:dyDescent="0.25">
      <c r="A1175" s="444"/>
      <c r="B1175" s="445"/>
      <c r="C1175" s="445"/>
      <c r="D1175" s="445"/>
      <c r="E1175" s="224" t="str">
        <f>+IF(A1175="","",VLOOKUP(A1175,[46]MATERIALES!$B$7:$D$225,2,FALSE))</f>
        <v/>
      </c>
      <c r="F1175" s="225" t="str">
        <f>+IF(A1175="","",VLOOKUP(A1175,[46]MATERIALES!$B$7:$E$225,3,FALSE))</f>
        <v/>
      </c>
      <c r="G1175" s="226"/>
      <c r="H1175" s="227"/>
      <c r="I1175" s="217" t="str">
        <f t="shared" si="120"/>
        <v/>
      </c>
      <c r="J1175" s="213"/>
    </row>
    <row r="1176" spans="1:10" x14ac:dyDescent="0.25">
      <c r="A1176" s="444"/>
      <c r="B1176" s="445"/>
      <c r="C1176" s="445"/>
      <c r="D1176" s="445"/>
      <c r="E1176" s="224"/>
      <c r="F1176" s="225"/>
      <c r="G1176" s="226"/>
      <c r="H1176" s="227"/>
      <c r="I1176" s="217"/>
      <c r="J1176" s="213"/>
    </row>
    <row r="1177" spans="1:10" x14ac:dyDescent="0.25">
      <c r="A1177" s="444"/>
      <c r="B1177" s="445"/>
      <c r="C1177" s="445"/>
      <c r="D1177" s="445"/>
      <c r="E1177" s="213"/>
      <c r="F1177" s="214"/>
      <c r="G1177" s="218"/>
      <c r="H1177" s="227"/>
      <c r="I1177" s="217">
        <f>IFERROR(F1177*G1177*(1+H1177),"")</f>
        <v>0</v>
      </c>
      <c r="J1177" s="213"/>
    </row>
    <row r="1178" spans="1:10" x14ac:dyDescent="0.25">
      <c r="A1178" s="437" t="s">
        <v>100</v>
      </c>
      <c r="B1178" s="438"/>
      <c r="C1178" s="438"/>
      <c r="D1178" s="438"/>
      <c r="E1178" s="438"/>
      <c r="F1178" s="438"/>
      <c r="G1178" s="438"/>
      <c r="H1178" s="438"/>
      <c r="I1178" s="439"/>
      <c r="J1178" s="217">
        <f>SUM(I1165:I1177)</f>
        <v>24894.66</v>
      </c>
    </row>
    <row r="1179" spans="1:10" x14ac:dyDescent="0.25">
      <c r="A1179" s="442" t="s">
        <v>106</v>
      </c>
      <c r="B1179" s="442"/>
      <c r="C1179" s="442"/>
      <c r="D1179" s="442"/>
      <c r="E1179" s="442"/>
      <c r="F1179" s="442"/>
      <c r="G1179" s="442"/>
      <c r="H1179" s="442"/>
      <c r="I1179" s="442"/>
      <c r="J1179" s="442"/>
    </row>
    <row r="1180" spans="1:10" ht="22.5" x14ac:dyDescent="0.25">
      <c r="A1180" s="443" t="s">
        <v>107</v>
      </c>
      <c r="B1180" s="443"/>
      <c r="C1180" s="443"/>
      <c r="D1180" s="443"/>
      <c r="E1180" s="223" t="s">
        <v>108</v>
      </c>
      <c r="F1180" s="230" t="s">
        <v>109</v>
      </c>
      <c r="G1180" s="223" t="s">
        <v>110</v>
      </c>
      <c r="H1180" s="223" t="s">
        <v>111</v>
      </c>
      <c r="I1180" s="223" t="s">
        <v>92</v>
      </c>
      <c r="J1180" s="213"/>
    </row>
    <row r="1181" spans="1:10" x14ac:dyDescent="0.25">
      <c r="A1181" s="447" t="s">
        <v>160</v>
      </c>
      <c r="B1181" s="447"/>
      <c r="C1181" s="447"/>
      <c r="D1181" s="447"/>
      <c r="E1181" s="216" t="e">
        <f>+IF(A1181="","",VLOOKUP(A1181,[46]MATERIALES!$B$7:$E$1222,2,FALSE))</f>
        <v>#N/A</v>
      </c>
      <c r="F1181" s="224">
        <f>0.15*0.15</f>
        <v>2.2499999999999999E-2</v>
      </c>
      <c r="G1181" s="231" t="e">
        <f>+IF(A1181="","",VLOOKUP(A1181,[46]MATERIALES!$B$7:$E$1222,4,FALSE))</f>
        <v>#N/A</v>
      </c>
      <c r="H1181" s="216" t="e">
        <f>+IF(A1181="","",VLOOKUP(A1181,[46]MATERIALES!$B$7:$E$1222,3,FALSE))</f>
        <v>#N/A</v>
      </c>
      <c r="I1181" s="217" t="str">
        <f>IFERROR(G1181*H1181*F1181,"")</f>
        <v/>
      </c>
      <c r="J1181" s="213"/>
    </row>
    <row r="1182" spans="1:10" x14ac:dyDescent="0.25">
      <c r="A1182" s="447"/>
      <c r="B1182" s="447"/>
      <c r="C1182" s="447"/>
      <c r="D1182" s="447"/>
      <c r="E1182" s="216" t="str">
        <f>+IF(A1182="","",VLOOKUP(A1182,[46]MATERIALES!$B$7:$E$1222,2,FALSE))</f>
        <v/>
      </c>
      <c r="F1182" s="224"/>
      <c r="G1182" s="231" t="str">
        <f>+IF(A1182="","",VLOOKUP(A1182,[46]MATERIALES!$B$7:$E$1222,4,FALSE))</f>
        <v/>
      </c>
      <c r="H1182" s="216" t="str">
        <f>+IF(A1182="","",VLOOKUP(A1182,[46]MATERIALES!$B$7:$E$1222,3,FALSE))</f>
        <v/>
      </c>
      <c r="I1182" s="217" t="str">
        <f>IFERROR(G1182*H1182*F1182,"")</f>
        <v/>
      </c>
      <c r="J1182" s="213"/>
    </row>
    <row r="1183" spans="1:10" x14ac:dyDescent="0.25">
      <c r="A1183" s="447"/>
      <c r="B1183" s="447"/>
      <c r="C1183" s="447"/>
      <c r="D1183" s="447"/>
      <c r="E1183" s="213"/>
      <c r="F1183" s="214"/>
      <c r="G1183" s="233"/>
      <c r="H1183" s="216"/>
      <c r="I1183" s="219"/>
      <c r="J1183" s="213"/>
    </row>
    <row r="1184" spans="1:10" x14ac:dyDescent="0.25">
      <c r="A1184" s="447"/>
      <c r="B1184" s="447"/>
      <c r="C1184" s="447"/>
      <c r="D1184" s="447"/>
      <c r="E1184" s="213"/>
      <c r="F1184" s="213"/>
      <c r="G1184" s="213"/>
      <c r="H1184" s="211"/>
      <c r="I1184" s="213"/>
      <c r="J1184" s="213"/>
    </row>
    <row r="1185" spans="1:10" x14ac:dyDescent="0.25">
      <c r="A1185" s="437" t="s">
        <v>100</v>
      </c>
      <c r="B1185" s="438"/>
      <c r="C1185" s="438"/>
      <c r="D1185" s="438"/>
      <c r="E1185" s="438"/>
      <c r="F1185" s="438"/>
      <c r="G1185" s="438"/>
      <c r="H1185" s="438"/>
      <c r="I1185" s="439"/>
      <c r="J1185" s="217">
        <f>SUM(I1181:I1184)</f>
        <v>0</v>
      </c>
    </row>
    <row r="1186" spans="1:10" x14ac:dyDescent="0.25">
      <c r="A1186" s="442" t="s">
        <v>112</v>
      </c>
      <c r="B1186" s="442"/>
      <c r="C1186" s="442"/>
      <c r="D1186" s="442"/>
      <c r="E1186" s="442"/>
      <c r="F1186" s="442"/>
      <c r="G1186" s="442"/>
      <c r="H1186" s="442"/>
      <c r="I1186" s="442"/>
      <c r="J1186" s="442"/>
    </row>
    <row r="1187" spans="1:10" x14ac:dyDescent="0.25">
      <c r="A1187" s="443" t="s">
        <v>113</v>
      </c>
      <c r="B1187" s="443"/>
      <c r="C1187" s="443"/>
      <c r="D1187" s="443"/>
      <c r="E1187" s="223" t="s">
        <v>114</v>
      </c>
      <c r="F1187" s="223" t="s">
        <v>115</v>
      </c>
      <c r="G1187" s="234" t="s">
        <v>116</v>
      </c>
      <c r="H1187" s="223" t="s">
        <v>91</v>
      </c>
      <c r="I1187" s="223" t="s">
        <v>92</v>
      </c>
      <c r="J1187" s="213"/>
    </row>
    <row r="1188" spans="1:10" x14ac:dyDescent="0.25">
      <c r="A1188" s="444" t="s">
        <v>99</v>
      </c>
      <c r="B1188" s="445"/>
      <c r="C1188" s="446"/>
      <c r="D1188" s="211">
        <v>1</v>
      </c>
      <c r="E1188" s="235">
        <f>+IF(D1188="","",VLOOKUP(A1188,$L$4:$O$10,3,FALSE))</f>
        <v>142350</v>
      </c>
      <c r="F1188" s="236">
        <f>+IF(D1188="","",(VLOOKUP(A1188,$L$4:$O$10,4,FALSE))+1)</f>
        <v>1.5821008628015805</v>
      </c>
      <c r="G1188" s="219">
        <f>+IFERROR(F1188*E1188*D1188,"")</f>
        <v>225212.05781980499</v>
      </c>
      <c r="H1188" s="216">
        <v>30</v>
      </c>
      <c r="I1188" s="217">
        <f>IFERROR(G1188/H1188,"")</f>
        <v>7507.0685939935001</v>
      </c>
      <c r="J1188" s="213"/>
    </row>
    <row r="1189" spans="1:10" ht="13.35" customHeight="1" x14ac:dyDescent="0.25">
      <c r="A1189" s="444" t="s">
        <v>93</v>
      </c>
      <c r="B1189" s="445"/>
      <c r="C1189" s="446"/>
      <c r="D1189" s="211">
        <v>1</v>
      </c>
      <c r="E1189" s="235">
        <f>+IF(D1189="","",VLOOKUP(A1189,$L$4:$O$10,3,FALSE))</f>
        <v>77842</v>
      </c>
      <c r="F1189" s="236">
        <f>+IF(D1189="","",(VLOOKUP(A1189,$L$4:$O$10,4,FALSE))+1)</f>
        <v>1.6752877632282406</v>
      </c>
      <c r="G1189" s="219">
        <f>+IFERROR(F1189*E1189*D1189,"")</f>
        <v>130407.75006521271</v>
      </c>
      <c r="H1189" s="216">
        <f>+H1188</f>
        <v>30</v>
      </c>
      <c r="I1189" s="217">
        <f t="shared" ref="I1189:I1190" si="121">IFERROR(G1189/H1189,"")</f>
        <v>4346.9250021737571</v>
      </c>
      <c r="J1189" s="213"/>
    </row>
    <row r="1190" spans="1:10" ht="13.35" customHeight="1" x14ac:dyDescent="0.25">
      <c r="A1190" s="444"/>
      <c r="B1190" s="445"/>
      <c r="C1190" s="446"/>
      <c r="D1190" s="211"/>
      <c r="E1190" s="235" t="str">
        <f>+IF(D1190="","",VLOOKUP(A1190,$L$4:$O$10,3,FALSE))</f>
        <v/>
      </c>
      <c r="F1190" s="236" t="str">
        <f>+IF(D1190="","",(VLOOKUP(A1190,$L$4:$O$10,4,FALSE))+1)</f>
        <v/>
      </c>
      <c r="G1190" s="219" t="str">
        <f>+IFERROR(F1190*E1190*D1190,"")</f>
        <v/>
      </c>
      <c r="H1190" s="216" t="str">
        <f>+IF(D1190="","",IFERROR(H1189,""))</f>
        <v/>
      </c>
      <c r="I1190" s="217" t="str">
        <f t="shared" si="121"/>
        <v/>
      </c>
      <c r="J1190" s="213"/>
    </row>
    <row r="1191" spans="1:10" x14ac:dyDescent="0.25">
      <c r="A1191" s="444"/>
      <c r="B1191" s="445"/>
      <c r="C1191" s="446"/>
      <c r="D1191" s="213"/>
      <c r="E1191" s="213"/>
      <c r="F1191" s="213"/>
      <c r="G1191" s="213"/>
      <c r="H1191" s="211"/>
      <c r="I1191" s="217"/>
      <c r="J1191" s="213"/>
    </row>
    <row r="1192" spans="1:10" ht="14.45" customHeight="1" x14ac:dyDescent="0.25">
      <c r="A1192" s="437" t="s">
        <v>100</v>
      </c>
      <c r="B1192" s="438"/>
      <c r="C1192" s="438"/>
      <c r="D1192" s="438"/>
      <c r="E1192" s="438"/>
      <c r="F1192" s="438"/>
      <c r="G1192" s="438"/>
      <c r="H1192" s="438"/>
      <c r="I1192" s="439"/>
      <c r="J1192" s="217">
        <f>SUM(I1188:I1191)</f>
        <v>11853.993596167256</v>
      </c>
    </row>
    <row r="1193" spans="1:10" x14ac:dyDescent="0.25">
      <c r="A1193" s="462" t="str">
        <f>+[48]PRESUPUESTO!$B$1</f>
        <v>CONSTRUCCION DE 14 METROS BOX CULVERT EN EL SECTOR BARRIO NUEVO DE SANTA RITA, CABECERA MUNICIPAL DE RIO IRÓ - DEPARTAMENTO DEL CHOCÓ</v>
      </c>
      <c r="B1193" s="462"/>
      <c r="C1193" s="462"/>
      <c r="D1193" s="462"/>
      <c r="E1193" s="462"/>
      <c r="F1193" s="462"/>
      <c r="G1193" s="462"/>
      <c r="H1193" s="462"/>
      <c r="I1193" s="462"/>
      <c r="J1193" s="462"/>
    </row>
    <row r="1194" spans="1:10" ht="29.45" customHeight="1" x14ac:dyDescent="0.25">
      <c r="A1194" s="463"/>
      <c r="B1194" s="463"/>
      <c r="C1194" s="463"/>
      <c r="D1194" s="463"/>
      <c r="E1194" s="463"/>
      <c r="F1194" s="463"/>
      <c r="G1194" s="463"/>
      <c r="H1194" s="463"/>
      <c r="I1194" s="462"/>
      <c r="J1194" s="462"/>
    </row>
    <row r="1195" spans="1:10" ht="12.2" customHeight="1" x14ac:dyDescent="0.25">
      <c r="A1195" s="256" t="s">
        <v>78</v>
      </c>
      <c r="B1195" s="455" t="s">
        <v>79</v>
      </c>
      <c r="C1195" s="455"/>
      <c r="D1195" s="455"/>
      <c r="E1195" s="455"/>
      <c r="F1195" s="455"/>
      <c r="G1195" s="455"/>
      <c r="H1195" s="455"/>
      <c r="I1195" s="257" t="s">
        <v>80</v>
      </c>
      <c r="J1195" s="258" t="s">
        <v>81</v>
      </c>
    </row>
    <row r="1196" spans="1:10" ht="21.2" customHeight="1" x14ac:dyDescent="0.25">
      <c r="A1196" s="203">
        <v>8.08</v>
      </c>
      <c r="B1196" s="456" t="e">
        <f>+VLOOKUP(A1196,[48]PRESUPUESTO!$B$2:$D$19,2,FALSE)</f>
        <v>#N/A</v>
      </c>
      <c r="C1196" s="457"/>
      <c r="D1196" s="457"/>
      <c r="E1196" s="457"/>
      <c r="F1196" s="457"/>
      <c r="G1196" s="457"/>
      <c r="H1196" s="458"/>
      <c r="I1196" s="204" t="e">
        <f>+VLOOKUP(A1196,[48]PRESUPUESTO!$B$2:$D$19,3,FALSE)</f>
        <v>#N/A</v>
      </c>
      <c r="J1196" s="237">
        <f>+ROUND(SUM(J1204:J1234),0)</f>
        <v>685767</v>
      </c>
    </row>
    <row r="1197" spans="1:10" x14ac:dyDescent="0.25">
      <c r="A1197" s="459" t="s">
        <v>87</v>
      </c>
      <c r="B1197" s="459"/>
      <c r="C1197" s="459"/>
      <c r="D1197" s="459"/>
      <c r="E1197" s="459"/>
      <c r="F1197" s="459"/>
      <c r="G1197" s="459"/>
      <c r="H1197" s="459"/>
      <c r="I1197" s="442"/>
      <c r="J1197" s="442"/>
    </row>
    <row r="1198" spans="1:10" x14ac:dyDescent="0.25">
      <c r="A1198" s="460" t="s">
        <v>2</v>
      </c>
      <c r="B1198" s="460"/>
      <c r="C1198" s="460"/>
      <c r="D1198" s="460"/>
      <c r="E1198" s="460"/>
      <c r="F1198" s="223" t="s">
        <v>89</v>
      </c>
      <c r="G1198" s="234" t="s">
        <v>90</v>
      </c>
      <c r="H1198" s="223" t="s">
        <v>91</v>
      </c>
      <c r="I1198" s="223" t="s">
        <v>92</v>
      </c>
      <c r="J1198" s="213"/>
    </row>
    <row r="1199" spans="1:10" x14ac:dyDescent="0.25">
      <c r="A1199" s="451" t="s">
        <v>95</v>
      </c>
      <c r="B1199" s="451"/>
      <c r="C1199" s="451"/>
      <c r="D1199" s="451"/>
      <c r="E1199" s="451"/>
      <c r="F1199" s="214"/>
      <c r="G1199" s="215">
        <v>0.05</v>
      </c>
      <c r="H1199" s="216"/>
      <c r="I1199" s="217">
        <f>+J1234*G1199</f>
        <v>5926.9967980836291</v>
      </c>
      <c r="J1199" s="213"/>
    </row>
    <row r="1200" spans="1:10" x14ac:dyDescent="0.25">
      <c r="A1200" s="461"/>
      <c r="B1200" s="461"/>
      <c r="C1200" s="461"/>
      <c r="D1200" s="461"/>
      <c r="E1200" s="461"/>
      <c r="F1200" s="224" t="str">
        <f>+IF(A1200="","",VLOOKUP(A1200,[46]MATERIALES!$B$7:$D$1222,2,FALSE))</f>
        <v/>
      </c>
      <c r="G1200" s="225" t="str">
        <f>+IF(A1200="","",VLOOKUP(A1200,[46]MATERIALES!$B$7:$E$1222,3,FALSE))</f>
        <v/>
      </c>
      <c r="H1200" s="238" t="str">
        <f>IF(A1200="","",1/H1230)</f>
        <v/>
      </c>
      <c r="I1200" s="217" t="str">
        <f t="shared" ref="I1200:I1203" si="122">IFERROR(G1200*H1200,"")</f>
        <v/>
      </c>
      <c r="J1200" s="213"/>
    </row>
    <row r="1201" spans="1:10" x14ac:dyDescent="0.25">
      <c r="A1201" s="451"/>
      <c r="B1201" s="451"/>
      <c r="C1201" s="451"/>
      <c r="D1201" s="451"/>
      <c r="E1201" s="451"/>
      <c r="F1201" s="224" t="str">
        <f>+IF(A1201="","",VLOOKUP(A1201,[46]MATERIALES!$B$7:$D$1222,2,FALSE))</f>
        <v/>
      </c>
      <c r="G1201" s="225" t="str">
        <f>+IF(A1201="","",VLOOKUP(A1201,[46]MATERIALES!$B$7:$E$1222,3,FALSE))</f>
        <v/>
      </c>
      <c r="H1201" s="238" t="str">
        <f>IF(A1201="","",1/H1230)</f>
        <v/>
      </c>
      <c r="I1201" s="217" t="str">
        <f t="shared" si="122"/>
        <v/>
      </c>
      <c r="J1201" s="213"/>
    </row>
    <row r="1202" spans="1:10" x14ac:dyDescent="0.25">
      <c r="A1202" s="451"/>
      <c r="B1202" s="451"/>
      <c r="C1202" s="451"/>
      <c r="D1202" s="451"/>
      <c r="E1202" s="451"/>
      <c r="F1202" s="224" t="str">
        <f>+IF(A1202="","",VLOOKUP(A1202,[46]MATERIALES!$B$7:$D$1222,2,FALSE))</f>
        <v/>
      </c>
      <c r="G1202" s="225" t="str">
        <f>+IF(A1202="","",VLOOKUP(A1202,[46]MATERIALES!$B$7:$E$1222,3,FALSE))</f>
        <v/>
      </c>
      <c r="H1202" s="238" t="str">
        <f>IF(A1202="","",1/H1231)</f>
        <v/>
      </c>
      <c r="I1202" s="217" t="str">
        <f t="shared" si="122"/>
        <v/>
      </c>
      <c r="J1202" s="213"/>
    </row>
    <row r="1203" spans="1:10" x14ac:dyDescent="0.25">
      <c r="A1203" s="451"/>
      <c r="B1203" s="451"/>
      <c r="C1203" s="451"/>
      <c r="D1203" s="451"/>
      <c r="E1203" s="451"/>
      <c r="F1203" s="224" t="str">
        <f>+IF(A1203="","",VLOOKUP(A1203,[46]MATERIALES!$B$7:$D$1222,2,FALSE))</f>
        <v/>
      </c>
      <c r="G1203" s="225" t="str">
        <f>+IF(A1203="","",VLOOKUP(A1203,[46]MATERIALES!$B$7:$E$1222,3,FALSE))</f>
        <v/>
      </c>
      <c r="H1203" s="238"/>
      <c r="I1203" s="217" t="str">
        <f t="shared" si="122"/>
        <v/>
      </c>
      <c r="J1203" s="219"/>
    </row>
    <row r="1204" spans="1:10" x14ac:dyDescent="0.25">
      <c r="A1204" s="437" t="s">
        <v>100</v>
      </c>
      <c r="B1204" s="438"/>
      <c r="C1204" s="438"/>
      <c r="D1204" s="438"/>
      <c r="E1204" s="438"/>
      <c r="F1204" s="438"/>
      <c r="G1204" s="438"/>
      <c r="H1204" s="438"/>
      <c r="I1204" s="439"/>
      <c r="J1204" s="217">
        <f>+SUM(I1199:I1203)</f>
        <v>5926.9967980836291</v>
      </c>
    </row>
    <row r="1205" spans="1:10" x14ac:dyDescent="0.25">
      <c r="A1205" s="442" t="s">
        <v>101</v>
      </c>
      <c r="B1205" s="442"/>
      <c r="C1205" s="442"/>
      <c r="D1205" s="442"/>
      <c r="E1205" s="442"/>
      <c r="F1205" s="442"/>
      <c r="G1205" s="442"/>
      <c r="H1205" s="442"/>
      <c r="I1205" s="442"/>
      <c r="J1205" s="442"/>
    </row>
    <row r="1206" spans="1:10" x14ac:dyDescent="0.25">
      <c r="A1206" s="452" t="s">
        <v>2</v>
      </c>
      <c r="B1206" s="453"/>
      <c r="C1206" s="453"/>
      <c r="D1206" s="454"/>
      <c r="E1206" s="223" t="s">
        <v>3</v>
      </c>
      <c r="F1206" s="223" t="s">
        <v>102</v>
      </c>
      <c r="G1206" s="223" t="s">
        <v>4</v>
      </c>
      <c r="H1206" s="223" t="s">
        <v>103</v>
      </c>
      <c r="I1206" s="223" t="s">
        <v>92</v>
      </c>
      <c r="J1206" s="213"/>
    </row>
    <row r="1207" spans="1:10" x14ac:dyDescent="0.25">
      <c r="A1207" s="448" t="s">
        <v>180</v>
      </c>
      <c r="B1207" s="449"/>
      <c r="C1207" s="449"/>
      <c r="D1207" s="449"/>
      <c r="E1207" s="224" t="str">
        <f>+IF(A1207="","",VLOOKUP(A1207,[46]MATERIALES!$B$7:$D$225,2,FALSE))</f>
        <v>UN</v>
      </c>
      <c r="F1207" s="225">
        <f>+IF(A1207="","",VLOOKUP(A1207,[46]MATERIALES!$B$7:$E$225,3,FALSE))</f>
        <v>550000</v>
      </c>
      <c r="G1207" s="238">
        <v>1</v>
      </c>
      <c r="H1207" s="227"/>
      <c r="I1207" s="217">
        <f>IFERROR(F1207*G1207*(1+H1207),"")</f>
        <v>550000</v>
      </c>
      <c r="J1207" s="213"/>
    </row>
    <row r="1208" spans="1:10" x14ac:dyDescent="0.25">
      <c r="A1208" s="448" t="s">
        <v>181</v>
      </c>
      <c r="B1208" s="449"/>
      <c r="C1208" s="449"/>
      <c r="D1208" s="449"/>
      <c r="E1208" s="224" t="str">
        <f>+IF(A1208="","",VLOOKUP(A1208,[46]MATERIALES!$B$7:$D$225,2,FALSE))</f>
        <v>UN</v>
      </c>
      <c r="F1208" s="225">
        <f>+IF(A1208="","",VLOOKUP(A1208,[46]MATERIALES!$B$7:$E$225,3,FALSE))</f>
        <v>39800</v>
      </c>
      <c r="G1208" s="238">
        <v>0.1</v>
      </c>
      <c r="H1208" s="227">
        <v>0.05</v>
      </c>
      <c r="I1208" s="217">
        <f t="shared" ref="I1208:I1217" si="123">IFERROR(F1208*G1208*(1+H1208),"")</f>
        <v>4179</v>
      </c>
      <c r="J1208" s="213"/>
    </row>
    <row r="1209" spans="1:10" ht="13.35" customHeight="1" x14ac:dyDescent="0.25">
      <c r="A1209" s="448" t="s">
        <v>130</v>
      </c>
      <c r="B1209" s="449"/>
      <c r="C1209" s="449"/>
      <c r="D1209" s="450"/>
      <c r="E1209" s="224" t="str">
        <f>+IF(A1209="","",VLOOKUP(A1209,[46]MATERIALES!$B$7:$D$225,2,FALSE))</f>
        <v>UN</v>
      </c>
      <c r="F1209" s="225">
        <f>+IF(A1209="","",VLOOKUP(A1209,[46]MATERIALES!$B$7:$E$225,3,FALSE))</f>
        <v>85400</v>
      </c>
      <c r="G1209" s="238">
        <v>0.04</v>
      </c>
      <c r="H1209" s="227">
        <v>0.05</v>
      </c>
      <c r="I1209" s="217">
        <f t="shared" si="123"/>
        <v>3586.8</v>
      </c>
      <c r="J1209" s="213"/>
    </row>
    <row r="1210" spans="1:10" ht="13.35" customHeight="1" x14ac:dyDescent="0.25">
      <c r="A1210" s="448" t="s">
        <v>131</v>
      </c>
      <c r="B1210" s="449"/>
      <c r="C1210" s="449"/>
      <c r="D1210" s="449"/>
      <c r="E1210" s="224" t="str">
        <f>+IF(A1210="","",VLOOKUP(A1210,[46]MATERIALES!$B$7:$D$225,2,FALSE))</f>
        <v>un</v>
      </c>
      <c r="F1210" s="225">
        <f>+IF(A1210="","",VLOOKUP(A1210,[46]MATERIALES!$B$7:$E$225,3,FALSE))</f>
        <v>54900</v>
      </c>
      <c r="G1210" s="238">
        <v>0.04</v>
      </c>
      <c r="H1210" s="227">
        <v>0.05</v>
      </c>
      <c r="I1210" s="217">
        <f t="shared" si="123"/>
        <v>2305.8000000000002</v>
      </c>
      <c r="J1210" s="213"/>
    </row>
    <row r="1211" spans="1:10" ht="13.35" customHeight="1" x14ac:dyDescent="0.25">
      <c r="A1211" s="448" t="s">
        <v>132</v>
      </c>
      <c r="B1211" s="449"/>
      <c r="C1211" s="449"/>
      <c r="D1211" s="449"/>
      <c r="E1211" s="224" t="str">
        <f>+IF(A1211="","",VLOOKUP(A1211,[46]MATERIALES!$B$7:$D$225,2,FALSE))</f>
        <v>Libra</v>
      </c>
      <c r="F1211" s="225">
        <f>+IF(A1211="","",VLOOKUP(A1211,[46]MATERIALES!$B$7:$E$225,3,FALSE))</f>
        <v>7800</v>
      </c>
      <c r="G1211" s="226">
        <v>0.15</v>
      </c>
      <c r="H1211" s="227">
        <v>0.05</v>
      </c>
      <c r="I1211" s="217">
        <f t="shared" si="123"/>
        <v>1228.5</v>
      </c>
      <c r="J1211" s="213"/>
    </row>
    <row r="1212" spans="1:10" x14ac:dyDescent="0.25">
      <c r="A1212" s="448"/>
      <c r="B1212" s="449"/>
      <c r="C1212" s="449"/>
      <c r="D1212" s="449"/>
      <c r="E1212" s="224" t="str">
        <f>+IF(A1212="","",VLOOKUP(A1212,[46]MATERIALES!$B$7:$D$225,2,FALSE))</f>
        <v/>
      </c>
      <c r="F1212" s="225" t="str">
        <f>+IF(A1212="","",VLOOKUP(A1212,[46]MATERIALES!$B$7:$E$225,3,FALSE))</f>
        <v/>
      </c>
      <c r="G1212" s="238"/>
      <c r="H1212" s="227"/>
      <c r="I1212" s="217" t="str">
        <f t="shared" si="123"/>
        <v/>
      </c>
      <c r="J1212" s="213"/>
    </row>
    <row r="1213" spans="1:10" x14ac:dyDescent="0.25">
      <c r="A1213" s="448"/>
      <c r="B1213" s="449"/>
      <c r="C1213" s="449"/>
      <c r="D1213" s="449"/>
      <c r="E1213" s="224" t="str">
        <f>+IF(A1213="","",VLOOKUP(A1213,[46]MATERIALES!$B$7:$D$225,2,FALSE))</f>
        <v/>
      </c>
      <c r="F1213" s="225" t="str">
        <f>+IF(A1213="","",VLOOKUP(A1213,[46]MATERIALES!$B$7:$E$225,3,FALSE))</f>
        <v/>
      </c>
      <c r="G1213" s="226"/>
      <c r="H1213" s="227"/>
      <c r="I1213" s="217" t="str">
        <f t="shared" si="123"/>
        <v/>
      </c>
      <c r="J1213" s="213"/>
    </row>
    <row r="1214" spans="1:10" x14ac:dyDescent="0.25">
      <c r="A1214" s="448"/>
      <c r="B1214" s="449"/>
      <c r="C1214" s="449"/>
      <c r="D1214" s="450"/>
      <c r="E1214" s="224" t="str">
        <f>+IF(A1214="","",VLOOKUP(A1214,[46]MATERIALES!$B$7:$D$225,2,FALSE))</f>
        <v/>
      </c>
      <c r="F1214" s="225" t="str">
        <f>+IF(A1214="","",VLOOKUP(A1214,[46]MATERIALES!$B$7:$E$225,3,FALSE))</f>
        <v/>
      </c>
      <c r="G1214" s="226"/>
      <c r="H1214" s="227"/>
      <c r="I1214" s="217" t="str">
        <f t="shared" si="123"/>
        <v/>
      </c>
      <c r="J1214" s="213"/>
    </row>
    <row r="1215" spans="1:10" x14ac:dyDescent="0.25">
      <c r="A1215" s="448"/>
      <c r="B1215" s="449"/>
      <c r="C1215" s="449"/>
      <c r="D1215" s="449"/>
      <c r="E1215" s="224" t="str">
        <f>+IF(A1215="","",VLOOKUP(A1215,[46]MATERIALES!$B$7:$D$225,2,FALSE))</f>
        <v/>
      </c>
      <c r="F1215" s="225" t="str">
        <f>+IF(A1215="","",VLOOKUP(A1215,[46]MATERIALES!$B$7:$E$225,3,FALSE))</f>
        <v/>
      </c>
      <c r="G1215" s="226"/>
      <c r="H1215" s="227"/>
      <c r="I1215" s="217" t="str">
        <f t="shared" si="123"/>
        <v/>
      </c>
      <c r="J1215" s="213"/>
    </row>
    <row r="1216" spans="1:10" x14ac:dyDescent="0.25">
      <c r="A1216" s="444"/>
      <c r="B1216" s="445"/>
      <c r="C1216" s="445"/>
      <c r="D1216" s="445"/>
      <c r="E1216" s="224" t="str">
        <f>+IF(A1216="","",VLOOKUP(A1216,[46]MATERIALES!$B$7:$D$225,2,FALSE))</f>
        <v/>
      </c>
      <c r="F1216" s="225" t="str">
        <f>+IF(A1216="","",VLOOKUP(A1216,[46]MATERIALES!$B$7:$E$225,3,FALSE))</f>
        <v/>
      </c>
      <c r="G1216" s="226"/>
      <c r="H1216" s="227"/>
      <c r="I1216" s="217" t="str">
        <f t="shared" si="123"/>
        <v/>
      </c>
      <c r="J1216" s="213"/>
    </row>
    <row r="1217" spans="1:10" x14ac:dyDescent="0.25">
      <c r="A1217" s="444"/>
      <c r="B1217" s="445"/>
      <c r="C1217" s="445"/>
      <c r="D1217" s="445"/>
      <c r="E1217" s="224" t="str">
        <f>+IF(A1217="","",VLOOKUP(A1217,[46]MATERIALES!$B$7:$D$225,2,FALSE))</f>
        <v/>
      </c>
      <c r="F1217" s="225" t="str">
        <f>+IF(A1217="","",VLOOKUP(A1217,[46]MATERIALES!$B$7:$E$225,3,FALSE))</f>
        <v/>
      </c>
      <c r="G1217" s="226"/>
      <c r="H1217" s="227"/>
      <c r="I1217" s="217" t="str">
        <f t="shared" si="123"/>
        <v/>
      </c>
      <c r="J1217" s="213"/>
    </row>
    <row r="1218" spans="1:10" x14ac:dyDescent="0.25">
      <c r="A1218" s="444"/>
      <c r="B1218" s="445"/>
      <c r="C1218" s="445"/>
      <c r="D1218" s="445"/>
      <c r="E1218" s="224"/>
      <c r="F1218" s="225"/>
      <c r="G1218" s="226"/>
      <c r="H1218" s="227"/>
      <c r="I1218" s="217"/>
      <c r="J1218" s="213"/>
    </row>
    <row r="1219" spans="1:10" x14ac:dyDescent="0.25">
      <c r="A1219" s="444"/>
      <c r="B1219" s="445"/>
      <c r="C1219" s="445"/>
      <c r="D1219" s="445"/>
      <c r="E1219" s="213"/>
      <c r="F1219" s="214"/>
      <c r="G1219" s="218"/>
      <c r="H1219" s="227"/>
      <c r="I1219" s="217">
        <f>IFERROR(F1219*G1219*(1+H1219),"")</f>
        <v>0</v>
      </c>
      <c r="J1219" s="213"/>
    </row>
    <row r="1220" spans="1:10" x14ac:dyDescent="0.25">
      <c r="A1220" s="437" t="s">
        <v>100</v>
      </c>
      <c r="B1220" s="438"/>
      <c r="C1220" s="438"/>
      <c r="D1220" s="438"/>
      <c r="E1220" s="438"/>
      <c r="F1220" s="438"/>
      <c r="G1220" s="438"/>
      <c r="H1220" s="438"/>
      <c r="I1220" s="439"/>
      <c r="J1220" s="217">
        <f>SUM(I1207:I1219)</f>
        <v>561300.10000000009</v>
      </c>
    </row>
    <row r="1221" spans="1:10" x14ac:dyDescent="0.25">
      <c r="A1221" s="442" t="s">
        <v>106</v>
      </c>
      <c r="B1221" s="442"/>
      <c r="C1221" s="442"/>
      <c r="D1221" s="442"/>
      <c r="E1221" s="442"/>
      <c r="F1221" s="442"/>
      <c r="G1221" s="442"/>
      <c r="H1221" s="442"/>
      <c r="I1221" s="442"/>
      <c r="J1221" s="442"/>
    </row>
    <row r="1222" spans="1:10" ht="22.5" x14ac:dyDescent="0.25">
      <c r="A1222" s="443" t="s">
        <v>107</v>
      </c>
      <c r="B1222" s="443"/>
      <c r="C1222" s="443"/>
      <c r="D1222" s="443"/>
      <c r="E1222" s="223" t="s">
        <v>108</v>
      </c>
      <c r="F1222" s="230" t="s">
        <v>109</v>
      </c>
      <c r="G1222" s="223" t="s">
        <v>110</v>
      </c>
      <c r="H1222" s="223" t="s">
        <v>111</v>
      </c>
      <c r="I1222" s="223" t="s">
        <v>92</v>
      </c>
      <c r="J1222" s="213"/>
    </row>
    <row r="1223" spans="1:10" x14ac:dyDescent="0.25">
      <c r="A1223" s="447" t="s">
        <v>160</v>
      </c>
      <c r="B1223" s="447"/>
      <c r="C1223" s="447"/>
      <c r="D1223" s="447"/>
      <c r="E1223" s="216" t="e">
        <f>+IF(A1223="","",VLOOKUP(A1223,[46]MATERIALES!$B$7:$E$1222,2,FALSE))</f>
        <v>#N/A</v>
      </c>
      <c r="F1223" s="224">
        <f>0.5*0.8*1</f>
        <v>0.4</v>
      </c>
      <c r="G1223" s="231" t="e">
        <f>+IF(A1223="","",VLOOKUP(A1223,[46]MATERIALES!$B$7:$E$1222,4,FALSE))</f>
        <v>#N/A</v>
      </c>
      <c r="H1223" s="216" t="e">
        <f>+IF(A1223="","",VLOOKUP(A1223,[46]MATERIALES!$B$7:$E$1222,3,FALSE))</f>
        <v>#N/A</v>
      </c>
      <c r="I1223" s="217" t="str">
        <f>IFERROR(G1223*H1223*F1223,"")</f>
        <v/>
      </c>
      <c r="J1223" s="213"/>
    </row>
    <row r="1224" spans="1:10" x14ac:dyDescent="0.25">
      <c r="A1224" s="447"/>
      <c r="B1224" s="447"/>
      <c r="C1224" s="447"/>
      <c r="D1224" s="447"/>
      <c r="E1224" s="216" t="str">
        <f>+IF(A1224="","",VLOOKUP(A1224,[46]MATERIALES!$B$7:$E$1222,2,FALSE))</f>
        <v/>
      </c>
      <c r="F1224" s="224"/>
      <c r="G1224" s="231" t="str">
        <f>+IF(A1224="","",VLOOKUP(A1224,[46]MATERIALES!$B$7:$E$1222,4,FALSE))</f>
        <v/>
      </c>
      <c r="H1224" s="216" t="str">
        <f>+IF(A1224="","",VLOOKUP(A1224,[46]MATERIALES!$B$7:$E$1222,3,FALSE))</f>
        <v/>
      </c>
      <c r="I1224" s="217" t="str">
        <f>IFERROR(G1224*H1224*F1224,"")</f>
        <v/>
      </c>
      <c r="J1224" s="213"/>
    </row>
    <row r="1225" spans="1:10" x14ac:dyDescent="0.25">
      <c r="A1225" s="447"/>
      <c r="B1225" s="447"/>
      <c r="C1225" s="447"/>
      <c r="D1225" s="447"/>
      <c r="E1225" s="213"/>
      <c r="F1225" s="214"/>
      <c r="G1225" s="233"/>
      <c r="H1225" s="216"/>
      <c r="I1225" s="219"/>
      <c r="J1225" s="213"/>
    </row>
    <row r="1226" spans="1:10" x14ac:dyDescent="0.25">
      <c r="A1226" s="447"/>
      <c r="B1226" s="447"/>
      <c r="C1226" s="447"/>
      <c r="D1226" s="447"/>
      <c r="E1226" s="213"/>
      <c r="F1226" s="213"/>
      <c r="G1226" s="213"/>
      <c r="H1226" s="211"/>
      <c r="I1226" s="213"/>
      <c r="J1226" s="213"/>
    </row>
    <row r="1227" spans="1:10" x14ac:dyDescent="0.25">
      <c r="A1227" s="437" t="s">
        <v>100</v>
      </c>
      <c r="B1227" s="438"/>
      <c r="C1227" s="438"/>
      <c r="D1227" s="438"/>
      <c r="E1227" s="438"/>
      <c r="F1227" s="438"/>
      <c r="G1227" s="438"/>
      <c r="H1227" s="438"/>
      <c r="I1227" s="439"/>
      <c r="J1227" s="217">
        <f>SUM(I1223:I1226)</f>
        <v>0</v>
      </c>
    </row>
    <row r="1228" spans="1:10" x14ac:dyDescent="0.25">
      <c r="A1228" s="442" t="s">
        <v>112</v>
      </c>
      <c r="B1228" s="442"/>
      <c r="C1228" s="442"/>
      <c r="D1228" s="442"/>
      <c r="E1228" s="442"/>
      <c r="F1228" s="442"/>
      <c r="G1228" s="442"/>
      <c r="H1228" s="442"/>
      <c r="I1228" s="442"/>
      <c r="J1228" s="442"/>
    </row>
    <row r="1229" spans="1:10" x14ac:dyDescent="0.25">
      <c r="A1229" s="443" t="s">
        <v>113</v>
      </c>
      <c r="B1229" s="443"/>
      <c r="C1229" s="443"/>
      <c r="D1229" s="443"/>
      <c r="E1229" s="223" t="s">
        <v>114</v>
      </c>
      <c r="F1229" s="223" t="s">
        <v>115</v>
      </c>
      <c r="G1229" s="234" t="s">
        <v>116</v>
      </c>
      <c r="H1229" s="223" t="s">
        <v>91</v>
      </c>
      <c r="I1229" s="223" t="s">
        <v>92</v>
      </c>
      <c r="J1229" s="213"/>
    </row>
    <row r="1230" spans="1:10" x14ac:dyDescent="0.25">
      <c r="A1230" s="444" t="s">
        <v>99</v>
      </c>
      <c r="B1230" s="445"/>
      <c r="C1230" s="446"/>
      <c r="D1230" s="211">
        <v>1</v>
      </c>
      <c r="E1230" s="235">
        <f>+IF(D1230="","",VLOOKUP(A1230,$L$4:$O$10,3,FALSE))</f>
        <v>142350</v>
      </c>
      <c r="F1230" s="236">
        <f>+IF(D1230="","",(VLOOKUP(A1230,$L$4:$O$10,4,FALSE))+1)</f>
        <v>1.5821008628015805</v>
      </c>
      <c r="G1230" s="219">
        <f>+IFERROR(F1230*E1230*D1230,"")</f>
        <v>225212.05781980499</v>
      </c>
      <c r="H1230" s="216">
        <v>3</v>
      </c>
      <c r="I1230" s="217">
        <f>IFERROR(G1230/H1230,"")</f>
        <v>75070.685939934992</v>
      </c>
      <c r="J1230" s="213"/>
    </row>
    <row r="1231" spans="1:10" ht="13.35" customHeight="1" x14ac:dyDescent="0.25">
      <c r="A1231" s="444" t="s">
        <v>93</v>
      </c>
      <c r="B1231" s="445"/>
      <c r="C1231" s="446"/>
      <c r="D1231" s="211">
        <v>1</v>
      </c>
      <c r="E1231" s="235">
        <f>+IF(D1231="","",VLOOKUP(A1231,$L$4:$O$10,3,FALSE))</f>
        <v>77842</v>
      </c>
      <c r="F1231" s="236">
        <f>+IF(D1231="","",(VLOOKUP(A1231,$L$4:$O$10,4,FALSE))+1)</f>
        <v>1.6752877632282406</v>
      </c>
      <c r="G1231" s="219">
        <f>+IFERROR(F1231*E1231*D1231,"")</f>
        <v>130407.75006521271</v>
      </c>
      <c r="H1231" s="216">
        <f>+H1230</f>
        <v>3</v>
      </c>
      <c r="I1231" s="217">
        <f t="shared" ref="I1231:I1232" si="124">IFERROR(G1231/H1231,"")</f>
        <v>43469.250021737571</v>
      </c>
      <c r="J1231" s="213"/>
    </row>
    <row r="1232" spans="1:10" ht="13.35" customHeight="1" x14ac:dyDescent="0.25">
      <c r="A1232" s="444"/>
      <c r="B1232" s="445"/>
      <c r="C1232" s="446"/>
      <c r="D1232" s="211"/>
      <c r="E1232" s="235" t="str">
        <f>+IF(D1232="","",VLOOKUP(A1232,$L$4:$O$10,3,FALSE))</f>
        <v/>
      </c>
      <c r="F1232" s="236" t="str">
        <f>+IF(D1232="","",(VLOOKUP(A1232,$L$4:$O$10,4,FALSE))+1)</f>
        <v/>
      </c>
      <c r="G1232" s="219" t="str">
        <f>+IFERROR(F1232*E1232*D1232,"")</f>
        <v/>
      </c>
      <c r="H1232" s="216" t="str">
        <f>+IF(D1232="","",IFERROR(H1231,""))</f>
        <v/>
      </c>
      <c r="I1232" s="217" t="str">
        <f t="shared" si="124"/>
        <v/>
      </c>
      <c r="J1232" s="213"/>
    </row>
    <row r="1233" spans="1:10" x14ac:dyDescent="0.25">
      <c r="A1233" s="444"/>
      <c r="B1233" s="445"/>
      <c r="C1233" s="446"/>
      <c r="D1233" s="213"/>
      <c r="E1233" s="213"/>
      <c r="F1233" s="213"/>
      <c r="G1233" s="213"/>
      <c r="H1233" s="211"/>
      <c r="I1233" s="217"/>
      <c r="J1233" s="213"/>
    </row>
    <row r="1234" spans="1:10" ht="14.45" customHeight="1" x14ac:dyDescent="0.25">
      <c r="A1234" s="437" t="s">
        <v>100</v>
      </c>
      <c r="B1234" s="438"/>
      <c r="C1234" s="438"/>
      <c r="D1234" s="438"/>
      <c r="E1234" s="438"/>
      <c r="F1234" s="438"/>
      <c r="G1234" s="438"/>
      <c r="H1234" s="438"/>
      <c r="I1234" s="439"/>
      <c r="J1234" s="217">
        <f>SUM(I1230:I1233)</f>
        <v>118539.93596167257</v>
      </c>
    </row>
    <row r="1235" spans="1:10" x14ac:dyDescent="0.25">
      <c r="A1235" s="462" t="str">
        <f>+[48]PRESUPUESTO!$B$1</f>
        <v>CONSTRUCCION DE 14 METROS BOX CULVERT EN EL SECTOR BARRIO NUEVO DE SANTA RITA, CABECERA MUNICIPAL DE RIO IRÓ - DEPARTAMENTO DEL CHOCÓ</v>
      </c>
      <c r="B1235" s="462"/>
      <c r="C1235" s="462"/>
      <c r="D1235" s="462"/>
      <c r="E1235" s="462"/>
      <c r="F1235" s="462"/>
      <c r="G1235" s="462"/>
      <c r="H1235" s="462"/>
      <c r="I1235" s="462"/>
      <c r="J1235" s="462"/>
    </row>
    <row r="1236" spans="1:10" ht="29.45" customHeight="1" x14ac:dyDescent="0.25">
      <c r="A1236" s="463"/>
      <c r="B1236" s="463"/>
      <c r="C1236" s="463"/>
      <c r="D1236" s="463"/>
      <c r="E1236" s="463"/>
      <c r="F1236" s="463"/>
      <c r="G1236" s="463"/>
      <c r="H1236" s="463"/>
      <c r="I1236" s="462"/>
      <c r="J1236" s="462"/>
    </row>
    <row r="1237" spans="1:10" ht="12.2" customHeight="1" x14ac:dyDescent="0.25">
      <c r="A1237" s="256" t="s">
        <v>78</v>
      </c>
      <c r="B1237" s="455" t="s">
        <v>79</v>
      </c>
      <c r="C1237" s="455"/>
      <c r="D1237" s="455"/>
      <c r="E1237" s="455"/>
      <c r="F1237" s="455"/>
      <c r="G1237" s="455"/>
      <c r="H1237" s="455"/>
      <c r="I1237" s="257" t="s">
        <v>80</v>
      </c>
      <c r="J1237" s="258" t="s">
        <v>81</v>
      </c>
    </row>
    <row r="1238" spans="1:10" ht="21.2" customHeight="1" x14ac:dyDescent="0.25">
      <c r="A1238" s="203">
        <v>8.09</v>
      </c>
      <c r="B1238" s="456" t="e">
        <f>+VLOOKUP(A1238,[48]PRESUPUESTO!$B$2:$D$19,2,FALSE)</f>
        <v>#N/A</v>
      </c>
      <c r="C1238" s="457"/>
      <c r="D1238" s="457"/>
      <c r="E1238" s="457"/>
      <c r="F1238" s="457"/>
      <c r="G1238" s="457"/>
      <c r="H1238" s="458"/>
      <c r="I1238" s="204" t="e">
        <f>+VLOOKUP(A1238,[48]PRESUPUESTO!$B$2:$D$19,3,FALSE)</f>
        <v>#N/A</v>
      </c>
      <c r="J1238" s="237">
        <f>+ROUND(SUM(J1246:J1279),0)</f>
        <v>558350</v>
      </c>
    </row>
    <row r="1239" spans="1:10" x14ac:dyDescent="0.25">
      <c r="A1239" s="459" t="s">
        <v>87</v>
      </c>
      <c r="B1239" s="459"/>
      <c r="C1239" s="459"/>
      <c r="D1239" s="459"/>
      <c r="E1239" s="459"/>
      <c r="F1239" s="459"/>
      <c r="G1239" s="459"/>
      <c r="H1239" s="459"/>
      <c r="I1239" s="442"/>
      <c r="J1239" s="442"/>
    </row>
    <row r="1240" spans="1:10" x14ac:dyDescent="0.25">
      <c r="A1240" s="460" t="s">
        <v>2</v>
      </c>
      <c r="B1240" s="460"/>
      <c r="C1240" s="460"/>
      <c r="D1240" s="460"/>
      <c r="E1240" s="460"/>
      <c r="F1240" s="223" t="s">
        <v>89</v>
      </c>
      <c r="G1240" s="234" t="s">
        <v>90</v>
      </c>
      <c r="H1240" s="223" t="s">
        <v>91</v>
      </c>
      <c r="I1240" s="223" t="s">
        <v>92</v>
      </c>
      <c r="J1240" s="213"/>
    </row>
    <row r="1241" spans="1:10" x14ac:dyDescent="0.25">
      <c r="A1241" s="451" t="s">
        <v>95</v>
      </c>
      <c r="B1241" s="451"/>
      <c r="C1241" s="451"/>
      <c r="D1241" s="451"/>
      <c r="E1241" s="451"/>
      <c r="F1241" s="214"/>
      <c r="G1241" s="215">
        <v>0.05</v>
      </c>
      <c r="H1241" s="216"/>
      <c r="I1241" s="217">
        <f>+J1279*G1241</f>
        <v>8890.4951971254432</v>
      </c>
      <c r="J1241" s="213"/>
    </row>
    <row r="1242" spans="1:10" x14ac:dyDescent="0.25">
      <c r="A1242" s="461"/>
      <c r="B1242" s="461"/>
      <c r="C1242" s="461"/>
      <c r="D1242" s="461"/>
      <c r="E1242" s="461"/>
      <c r="F1242" s="224" t="str">
        <f>+IF(A1242="","",VLOOKUP(A1242,[46]MATERIALES!$B$7:$D$1222,2,FALSE))</f>
        <v/>
      </c>
      <c r="G1242" s="225" t="str">
        <f>+IF(A1242="","",VLOOKUP(A1242,[46]MATERIALES!$B$7:$E$1222,3,FALSE))</f>
        <v/>
      </c>
      <c r="H1242" s="238" t="str">
        <f>IF(A1242="","",1/H1275)</f>
        <v/>
      </c>
      <c r="I1242" s="217" t="str">
        <f t="shared" ref="I1242:I1245" si="125">IFERROR(G1242*H1242,"")</f>
        <v/>
      </c>
      <c r="J1242" s="213"/>
    </row>
    <row r="1243" spans="1:10" x14ac:dyDescent="0.25">
      <c r="A1243" s="451"/>
      <c r="B1243" s="451"/>
      <c r="C1243" s="451"/>
      <c r="D1243" s="451"/>
      <c r="E1243" s="451"/>
      <c r="F1243" s="224" t="str">
        <f>+IF(A1243="","",VLOOKUP(A1243,[46]MATERIALES!$B$7:$D$1222,2,FALSE))</f>
        <v/>
      </c>
      <c r="G1243" s="225" t="str">
        <f>+IF(A1243="","",VLOOKUP(A1243,[46]MATERIALES!$B$7:$E$1222,3,FALSE))</f>
        <v/>
      </c>
      <c r="H1243" s="238" t="str">
        <f>IF(A1243="","",1/H1275)</f>
        <v/>
      </c>
      <c r="I1243" s="217" t="str">
        <f t="shared" si="125"/>
        <v/>
      </c>
      <c r="J1243" s="213"/>
    </row>
    <row r="1244" spans="1:10" x14ac:dyDescent="0.25">
      <c r="A1244" s="451"/>
      <c r="B1244" s="451"/>
      <c r="C1244" s="451"/>
      <c r="D1244" s="451"/>
      <c r="E1244" s="451"/>
      <c r="F1244" s="224" t="str">
        <f>+IF(A1244="","",VLOOKUP(A1244,[46]MATERIALES!$B$7:$D$1222,2,FALSE))</f>
        <v/>
      </c>
      <c r="G1244" s="225" t="str">
        <f>+IF(A1244="","",VLOOKUP(A1244,[46]MATERIALES!$B$7:$E$1222,3,FALSE))</f>
        <v/>
      </c>
      <c r="H1244" s="238" t="str">
        <f>IF(A1244="","",1/H1276)</f>
        <v/>
      </c>
      <c r="I1244" s="217" t="str">
        <f t="shared" si="125"/>
        <v/>
      </c>
      <c r="J1244" s="213"/>
    </row>
    <row r="1245" spans="1:10" x14ac:dyDescent="0.25">
      <c r="A1245" s="451"/>
      <c r="B1245" s="451"/>
      <c r="C1245" s="451"/>
      <c r="D1245" s="451"/>
      <c r="E1245" s="451"/>
      <c r="F1245" s="224" t="str">
        <f>+IF(A1245="","",VLOOKUP(A1245,[46]MATERIALES!$B$7:$D$1222,2,FALSE))</f>
        <v/>
      </c>
      <c r="G1245" s="225" t="str">
        <f>+IF(A1245="","",VLOOKUP(A1245,[46]MATERIALES!$B$7:$E$1222,3,FALSE))</f>
        <v/>
      </c>
      <c r="H1245" s="238"/>
      <c r="I1245" s="217" t="str">
        <f t="shared" si="125"/>
        <v/>
      </c>
      <c r="J1245" s="219"/>
    </row>
    <row r="1246" spans="1:10" x14ac:dyDescent="0.25">
      <c r="A1246" s="437" t="s">
        <v>100</v>
      </c>
      <c r="B1246" s="438"/>
      <c r="C1246" s="438"/>
      <c r="D1246" s="438"/>
      <c r="E1246" s="438"/>
      <c r="F1246" s="438"/>
      <c r="G1246" s="438"/>
      <c r="H1246" s="438"/>
      <c r="I1246" s="439"/>
      <c r="J1246" s="217">
        <f>+SUM(I1241:I1245)</f>
        <v>8890.4951971254432</v>
      </c>
    </row>
    <row r="1247" spans="1:10" x14ac:dyDescent="0.25">
      <c r="A1247" s="442" t="s">
        <v>101</v>
      </c>
      <c r="B1247" s="442"/>
      <c r="C1247" s="442"/>
      <c r="D1247" s="442"/>
      <c r="E1247" s="442"/>
      <c r="F1247" s="442"/>
      <c r="G1247" s="442"/>
      <c r="H1247" s="442"/>
      <c r="I1247" s="442"/>
      <c r="J1247" s="442"/>
    </row>
    <row r="1248" spans="1:10" x14ac:dyDescent="0.25">
      <c r="A1248" s="452" t="s">
        <v>2</v>
      </c>
      <c r="B1248" s="453"/>
      <c r="C1248" s="453"/>
      <c r="D1248" s="454"/>
      <c r="E1248" s="223" t="s">
        <v>3</v>
      </c>
      <c r="F1248" s="223" t="s">
        <v>102</v>
      </c>
      <c r="G1248" s="223" t="s">
        <v>4</v>
      </c>
      <c r="H1248" s="223" t="s">
        <v>103</v>
      </c>
      <c r="I1248" s="223" t="s">
        <v>92</v>
      </c>
      <c r="J1248" s="213"/>
    </row>
    <row r="1249" spans="1:10" x14ac:dyDescent="0.25">
      <c r="A1249" s="448" t="s">
        <v>182</v>
      </c>
      <c r="B1249" s="449"/>
      <c r="C1249" s="449"/>
      <c r="D1249" s="449"/>
      <c r="E1249" s="224" t="str">
        <f>+IF(A1249="","",VLOOKUP(A1249,[46]MATERIALES!$B$7:$D$225,2,FALSE))</f>
        <v>UN</v>
      </c>
      <c r="F1249" s="225">
        <f>+IF(A1249="","",VLOOKUP(A1249,[46]MATERIALES!$B$7:$E$225,3,FALSE))</f>
        <v>203900</v>
      </c>
      <c r="G1249" s="238">
        <v>1</v>
      </c>
      <c r="H1249" s="227"/>
      <c r="I1249" s="217">
        <f>IFERROR(F1249*G1249*(1+H1249),"")</f>
        <v>203900</v>
      </c>
      <c r="J1249" s="213"/>
    </row>
    <row r="1250" spans="1:10" x14ac:dyDescent="0.25">
      <c r="A1250" s="448" t="s">
        <v>183</v>
      </c>
      <c r="B1250" s="449"/>
      <c r="C1250" s="449"/>
      <c r="D1250" s="449"/>
      <c r="E1250" s="224" t="str">
        <f>+IF(A1250="","",VLOOKUP(A1250,[46]MATERIALES!$B$7:$D$225,2,FALSE))</f>
        <v>UN</v>
      </c>
      <c r="F1250" s="225">
        <f>+IF(A1250="","",VLOOKUP(A1250,[46]MATERIALES!$B$7:$E$225,3,FALSE))</f>
        <v>30500</v>
      </c>
      <c r="G1250" s="238">
        <v>1</v>
      </c>
      <c r="H1250" s="227"/>
      <c r="I1250" s="217">
        <f>IFERROR(F1250*G1250*(1+H1250),"")</f>
        <v>30500</v>
      </c>
      <c r="J1250" s="213"/>
    </row>
    <row r="1251" spans="1:10" ht="19.149999999999999" customHeight="1" x14ac:dyDescent="0.25">
      <c r="A1251" s="448" t="s">
        <v>184</v>
      </c>
      <c r="B1251" s="449"/>
      <c r="C1251" s="449"/>
      <c r="D1251" s="449"/>
      <c r="E1251" s="224" t="str">
        <f>+IF(A1251="","",VLOOKUP(A1251,[46]MATERIALES!$B$7:$D$225,2,FALSE))</f>
        <v>UN</v>
      </c>
      <c r="F1251" s="225">
        <f>+IF(A1251="","",VLOOKUP(A1251,[46]MATERIALES!$B$7:$E$225,3,FALSE))</f>
        <v>71950</v>
      </c>
      <c r="G1251" s="238">
        <v>1</v>
      </c>
      <c r="H1251" s="227"/>
      <c r="I1251" s="217">
        <f t="shared" ref="I1251:I1262" si="126">IFERROR(F1251*G1251*(1+H1251),"")</f>
        <v>71950</v>
      </c>
      <c r="J1251" s="213"/>
    </row>
    <row r="1252" spans="1:10" x14ac:dyDescent="0.25">
      <c r="A1252" s="448" t="s">
        <v>185</v>
      </c>
      <c r="B1252" s="449"/>
      <c r="C1252" s="449"/>
      <c r="D1252" s="449"/>
      <c r="E1252" s="224" t="str">
        <f>+IF(A1252="","",VLOOKUP(A1252,[46]MATERIALES!$B$7:$D$225,2,FALSE))</f>
        <v>UN</v>
      </c>
      <c r="F1252" s="225">
        <f>+IF(A1252="","",VLOOKUP(A1252,[46]MATERIALES!$B$7:$E$225,3,FALSE))</f>
        <v>54000</v>
      </c>
      <c r="G1252" s="238">
        <v>1</v>
      </c>
      <c r="H1252" s="227"/>
      <c r="I1252" s="217">
        <f t="shared" si="126"/>
        <v>54000</v>
      </c>
      <c r="J1252" s="213"/>
    </row>
    <row r="1253" spans="1:10" x14ac:dyDescent="0.25">
      <c r="A1253" s="448" t="s">
        <v>181</v>
      </c>
      <c r="B1253" s="449"/>
      <c r="C1253" s="449"/>
      <c r="D1253" s="449"/>
      <c r="E1253" s="224" t="str">
        <f>+IF(A1253="","",VLOOKUP(A1253,[46]MATERIALES!$B$7:$D$225,2,FALSE))</f>
        <v>UN</v>
      </c>
      <c r="F1253" s="225">
        <f>+IF(A1253="","",VLOOKUP(A1253,[46]MATERIALES!$B$7:$E$225,3,FALSE))</f>
        <v>39800</v>
      </c>
      <c r="G1253" s="238">
        <v>0.1</v>
      </c>
      <c r="H1253" s="227">
        <v>0.05</v>
      </c>
      <c r="I1253" s="217">
        <f t="shared" si="126"/>
        <v>4179</v>
      </c>
      <c r="J1253" s="213"/>
    </row>
    <row r="1254" spans="1:10" ht="13.35" customHeight="1" x14ac:dyDescent="0.25">
      <c r="A1254" s="448" t="s">
        <v>130</v>
      </c>
      <c r="B1254" s="449"/>
      <c r="C1254" s="449"/>
      <c r="D1254" s="450"/>
      <c r="E1254" s="224" t="str">
        <f>+IF(A1254="","",VLOOKUP(A1254,[46]MATERIALES!$B$7:$D$225,2,FALSE))</f>
        <v>UN</v>
      </c>
      <c r="F1254" s="225">
        <f>+IF(A1254="","",VLOOKUP(A1254,[46]MATERIALES!$B$7:$E$225,3,FALSE))</f>
        <v>85400</v>
      </c>
      <c r="G1254" s="238">
        <v>0.04</v>
      </c>
      <c r="H1254" s="227">
        <v>0.05</v>
      </c>
      <c r="I1254" s="217">
        <f t="shared" si="126"/>
        <v>3586.8</v>
      </c>
      <c r="J1254" s="213"/>
    </row>
    <row r="1255" spans="1:10" ht="13.35" customHeight="1" x14ac:dyDescent="0.25">
      <c r="A1255" s="448" t="s">
        <v>131</v>
      </c>
      <c r="B1255" s="449"/>
      <c r="C1255" s="449"/>
      <c r="D1255" s="449"/>
      <c r="E1255" s="224" t="str">
        <f>+IF(A1255="","",VLOOKUP(A1255,[46]MATERIALES!$B$7:$D$225,2,FALSE))</f>
        <v>un</v>
      </c>
      <c r="F1255" s="225">
        <f>+IF(A1255="","",VLOOKUP(A1255,[46]MATERIALES!$B$7:$E$225,3,FALSE))</f>
        <v>54900</v>
      </c>
      <c r="G1255" s="238">
        <v>0.04</v>
      </c>
      <c r="H1255" s="227">
        <v>0.05</v>
      </c>
      <c r="I1255" s="217">
        <f t="shared" si="126"/>
        <v>2305.8000000000002</v>
      </c>
      <c r="J1255" s="213"/>
    </row>
    <row r="1256" spans="1:10" ht="13.35" customHeight="1" x14ac:dyDescent="0.25">
      <c r="A1256" s="448" t="s">
        <v>132</v>
      </c>
      <c r="B1256" s="449"/>
      <c r="C1256" s="449"/>
      <c r="D1256" s="449"/>
      <c r="E1256" s="224" t="str">
        <f>+IF(A1256="","",VLOOKUP(A1256,[46]MATERIALES!$B$7:$D$225,2,FALSE))</f>
        <v>Libra</v>
      </c>
      <c r="F1256" s="225">
        <f>+IF(A1256="","",VLOOKUP(A1256,[46]MATERIALES!$B$7:$E$225,3,FALSE))</f>
        <v>7800</v>
      </c>
      <c r="G1256" s="226">
        <v>0.15</v>
      </c>
      <c r="H1256" s="227">
        <v>0.05</v>
      </c>
      <c r="I1256" s="217">
        <f t="shared" si="126"/>
        <v>1228.5</v>
      </c>
      <c r="J1256" s="213"/>
    </row>
    <row r="1257" spans="1:10" x14ac:dyDescent="0.25">
      <c r="A1257" s="448"/>
      <c r="B1257" s="449"/>
      <c r="C1257" s="449"/>
      <c r="D1257" s="449"/>
      <c r="E1257" s="224" t="str">
        <f>+IF(A1257="","",VLOOKUP(A1257,[46]MATERIALES!$B$7:$D$225,2,FALSE))</f>
        <v/>
      </c>
      <c r="F1257" s="225" t="str">
        <f>+IF(A1257="","",VLOOKUP(A1257,[46]MATERIALES!$B$7:$E$225,3,FALSE))</f>
        <v/>
      </c>
      <c r="G1257" s="238"/>
      <c r="H1257" s="227"/>
      <c r="I1257" s="217" t="str">
        <f t="shared" si="126"/>
        <v/>
      </c>
      <c r="J1257" s="213"/>
    </row>
    <row r="1258" spans="1:10" x14ac:dyDescent="0.25">
      <c r="A1258" s="448"/>
      <c r="B1258" s="449"/>
      <c r="C1258" s="449"/>
      <c r="D1258" s="449"/>
      <c r="E1258" s="224" t="str">
        <f>+IF(A1258="","",VLOOKUP(A1258,[46]MATERIALES!$B$7:$D$225,2,FALSE))</f>
        <v/>
      </c>
      <c r="F1258" s="225" t="str">
        <f>+IF(A1258="","",VLOOKUP(A1258,[46]MATERIALES!$B$7:$E$225,3,FALSE))</f>
        <v/>
      </c>
      <c r="G1258" s="226"/>
      <c r="H1258" s="227"/>
      <c r="I1258" s="217" t="str">
        <f t="shared" si="126"/>
        <v/>
      </c>
      <c r="J1258" s="213"/>
    </row>
    <row r="1259" spans="1:10" x14ac:dyDescent="0.25">
      <c r="A1259" s="448"/>
      <c r="B1259" s="449"/>
      <c r="C1259" s="449"/>
      <c r="D1259" s="450"/>
      <c r="E1259" s="224" t="str">
        <f>+IF(A1259="","",VLOOKUP(A1259,[46]MATERIALES!$B$7:$D$225,2,FALSE))</f>
        <v/>
      </c>
      <c r="F1259" s="225" t="str">
        <f>+IF(A1259="","",VLOOKUP(A1259,[46]MATERIALES!$B$7:$E$225,3,FALSE))</f>
        <v/>
      </c>
      <c r="G1259" s="226"/>
      <c r="H1259" s="227"/>
      <c r="I1259" s="217" t="str">
        <f t="shared" si="126"/>
        <v/>
      </c>
      <c r="J1259" s="213"/>
    </row>
    <row r="1260" spans="1:10" x14ac:dyDescent="0.25">
      <c r="A1260" s="448"/>
      <c r="B1260" s="449"/>
      <c r="C1260" s="449"/>
      <c r="D1260" s="449"/>
      <c r="E1260" s="224" t="str">
        <f>+IF(A1260="","",VLOOKUP(A1260,[46]MATERIALES!$B$7:$D$225,2,FALSE))</f>
        <v/>
      </c>
      <c r="F1260" s="225" t="str">
        <f>+IF(A1260="","",VLOOKUP(A1260,[46]MATERIALES!$B$7:$E$225,3,FALSE))</f>
        <v/>
      </c>
      <c r="G1260" s="226"/>
      <c r="H1260" s="227"/>
      <c r="I1260" s="217" t="str">
        <f t="shared" si="126"/>
        <v/>
      </c>
      <c r="J1260" s="213"/>
    </row>
    <row r="1261" spans="1:10" x14ac:dyDescent="0.25">
      <c r="A1261" s="444"/>
      <c r="B1261" s="445"/>
      <c r="C1261" s="445"/>
      <c r="D1261" s="445"/>
      <c r="E1261" s="224" t="str">
        <f>+IF(A1261="","",VLOOKUP(A1261,[46]MATERIALES!$B$7:$D$225,2,FALSE))</f>
        <v/>
      </c>
      <c r="F1261" s="225" t="str">
        <f>+IF(A1261="","",VLOOKUP(A1261,[46]MATERIALES!$B$7:$E$225,3,FALSE))</f>
        <v/>
      </c>
      <c r="G1261" s="226"/>
      <c r="H1261" s="227"/>
      <c r="I1261" s="217" t="str">
        <f t="shared" si="126"/>
        <v/>
      </c>
      <c r="J1261" s="213"/>
    </row>
    <row r="1262" spans="1:10" x14ac:dyDescent="0.25">
      <c r="A1262" s="444"/>
      <c r="B1262" s="445"/>
      <c r="C1262" s="445"/>
      <c r="D1262" s="445"/>
      <c r="E1262" s="224" t="str">
        <f>+IF(A1262="","",VLOOKUP(A1262,[46]MATERIALES!$B$7:$D$225,2,FALSE))</f>
        <v/>
      </c>
      <c r="F1262" s="225" t="str">
        <f>+IF(A1262="","",VLOOKUP(A1262,[46]MATERIALES!$B$7:$E$225,3,FALSE))</f>
        <v/>
      </c>
      <c r="G1262" s="226"/>
      <c r="H1262" s="227"/>
      <c r="I1262" s="217" t="str">
        <f t="shared" si="126"/>
        <v/>
      </c>
      <c r="J1262" s="213"/>
    </row>
    <row r="1263" spans="1:10" x14ac:dyDescent="0.25">
      <c r="A1263" s="444"/>
      <c r="B1263" s="445"/>
      <c r="C1263" s="445"/>
      <c r="D1263" s="445"/>
      <c r="E1263" s="224"/>
      <c r="F1263" s="225"/>
      <c r="G1263" s="226"/>
      <c r="H1263" s="227"/>
      <c r="I1263" s="217"/>
      <c r="J1263" s="213"/>
    </row>
    <row r="1264" spans="1:10" x14ac:dyDescent="0.25">
      <c r="A1264" s="444"/>
      <c r="B1264" s="445"/>
      <c r="C1264" s="445"/>
      <c r="D1264" s="445"/>
      <c r="E1264" s="213"/>
      <c r="F1264" s="214"/>
      <c r="G1264" s="218"/>
      <c r="H1264" s="227"/>
      <c r="I1264" s="217">
        <f>IFERROR(F1264*G1264*(1+H1264),"")</f>
        <v>0</v>
      </c>
      <c r="J1264" s="213"/>
    </row>
    <row r="1265" spans="1:10" x14ac:dyDescent="0.25">
      <c r="A1265" s="437" t="s">
        <v>100</v>
      </c>
      <c r="B1265" s="438"/>
      <c r="C1265" s="438"/>
      <c r="D1265" s="438"/>
      <c r="E1265" s="438"/>
      <c r="F1265" s="438"/>
      <c r="G1265" s="438"/>
      <c r="H1265" s="438"/>
      <c r="I1265" s="439"/>
      <c r="J1265" s="217">
        <f>SUM(I1249:I1264)</f>
        <v>371650.1</v>
      </c>
    </row>
    <row r="1266" spans="1:10" x14ac:dyDescent="0.25">
      <c r="A1266" s="442" t="s">
        <v>106</v>
      </c>
      <c r="B1266" s="442"/>
      <c r="C1266" s="442"/>
      <c r="D1266" s="442"/>
      <c r="E1266" s="442"/>
      <c r="F1266" s="442"/>
      <c r="G1266" s="442"/>
      <c r="H1266" s="442"/>
      <c r="I1266" s="442"/>
      <c r="J1266" s="442"/>
    </row>
    <row r="1267" spans="1:10" ht="22.5" x14ac:dyDescent="0.25">
      <c r="A1267" s="443" t="s">
        <v>107</v>
      </c>
      <c r="B1267" s="443"/>
      <c r="C1267" s="443"/>
      <c r="D1267" s="443"/>
      <c r="E1267" s="223" t="s">
        <v>108</v>
      </c>
      <c r="F1267" s="230" t="s">
        <v>109</v>
      </c>
      <c r="G1267" s="223" t="s">
        <v>110</v>
      </c>
      <c r="H1267" s="223" t="s">
        <v>111</v>
      </c>
      <c r="I1267" s="223" t="s">
        <v>92</v>
      </c>
      <c r="J1267" s="213"/>
    </row>
    <row r="1268" spans="1:10" x14ac:dyDescent="0.25">
      <c r="A1268" s="447" t="s">
        <v>160</v>
      </c>
      <c r="B1268" s="447"/>
      <c r="C1268" s="447"/>
      <c r="D1268" s="447"/>
      <c r="E1268" s="216" t="e">
        <f>+IF(A1268="","",VLOOKUP(A1268,[46]MATERIALES!$B$7:$E$1222,2,FALSE))</f>
        <v>#N/A</v>
      </c>
      <c r="F1268" s="224">
        <f>0.5*0.6*1.3</f>
        <v>0.39</v>
      </c>
      <c r="G1268" s="231" t="e">
        <f>+IF(A1268="","",VLOOKUP(A1268,[46]MATERIALES!$B$7:$E$1222,4,FALSE))</f>
        <v>#N/A</v>
      </c>
      <c r="H1268" s="216" t="e">
        <f>+IF(A1268="","",VLOOKUP(A1268,[46]MATERIALES!$B$7:$E$1222,3,FALSE))</f>
        <v>#N/A</v>
      </c>
      <c r="I1268" s="217" t="str">
        <f>IFERROR(G1268*H1268*F1268,"")</f>
        <v/>
      </c>
      <c r="J1268" s="213"/>
    </row>
    <row r="1269" spans="1:10" x14ac:dyDescent="0.25">
      <c r="A1269" s="447"/>
      <c r="B1269" s="447"/>
      <c r="C1269" s="447"/>
      <c r="D1269" s="447"/>
      <c r="E1269" s="216" t="str">
        <f>+IF(A1269="","",VLOOKUP(A1269,[46]MATERIALES!$B$7:$E$1222,2,FALSE))</f>
        <v/>
      </c>
      <c r="F1269" s="224"/>
      <c r="G1269" s="231" t="str">
        <f>+IF(A1269="","",VLOOKUP(A1269,[46]MATERIALES!$B$7:$E$1222,4,FALSE))</f>
        <v/>
      </c>
      <c r="H1269" s="216" t="str">
        <f>+IF(A1269="","",VLOOKUP(A1269,[46]MATERIALES!$B$7:$E$1222,3,FALSE))</f>
        <v/>
      </c>
      <c r="I1269" s="217" t="str">
        <f>IFERROR(G1269*H1269*F1269,"")</f>
        <v/>
      </c>
      <c r="J1269" s="213"/>
    </row>
    <row r="1270" spans="1:10" x14ac:dyDescent="0.25">
      <c r="A1270" s="447"/>
      <c r="B1270" s="447"/>
      <c r="C1270" s="447"/>
      <c r="D1270" s="447"/>
      <c r="E1270" s="213"/>
      <c r="F1270" s="214"/>
      <c r="G1270" s="233"/>
      <c r="H1270" s="216"/>
      <c r="I1270" s="219"/>
      <c r="J1270" s="213"/>
    </row>
    <row r="1271" spans="1:10" x14ac:dyDescent="0.25">
      <c r="A1271" s="447"/>
      <c r="B1271" s="447"/>
      <c r="C1271" s="447"/>
      <c r="D1271" s="447"/>
      <c r="E1271" s="213"/>
      <c r="F1271" s="213"/>
      <c r="G1271" s="213"/>
      <c r="H1271" s="211"/>
      <c r="I1271" s="213"/>
      <c r="J1271" s="213"/>
    </row>
    <row r="1272" spans="1:10" x14ac:dyDescent="0.25">
      <c r="A1272" s="437" t="s">
        <v>100</v>
      </c>
      <c r="B1272" s="438"/>
      <c r="C1272" s="438"/>
      <c r="D1272" s="438"/>
      <c r="E1272" s="438"/>
      <c r="F1272" s="438"/>
      <c r="G1272" s="438"/>
      <c r="H1272" s="438"/>
      <c r="I1272" s="439"/>
      <c r="J1272" s="217">
        <f>SUM(I1268:I1271)</f>
        <v>0</v>
      </c>
    </row>
    <row r="1273" spans="1:10" x14ac:dyDescent="0.25">
      <c r="A1273" s="442" t="s">
        <v>112</v>
      </c>
      <c r="B1273" s="442"/>
      <c r="C1273" s="442"/>
      <c r="D1273" s="442"/>
      <c r="E1273" s="442"/>
      <c r="F1273" s="442"/>
      <c r="G1273" s="442"/>
      <c r="H1273" s="442"/>
      <c r="I1273" s="442"/>
      <c r="J1273" s="442"/>
    </row>
    <row r="1274" spans="1:10" x14ac:dyDescent="0.25">
      <c r="A1274" s="443" t="s">
        <v>113</v>
      </c>
      <c r="B1274" s="443"/>
      <c r="C1274" s="443"/>
      <c r="D1274" s="443"/>
      <c r="E1274" s="223" t="s">
        <v>114</v>
      </c>
      <c r="F1274" s="223" t="s">
        <v>115</v>
      </c>
      <c r="G1274" s="234" t="s">
        <v>116</v>
      </c>
      <c r="H1274" s="223" t="s">
        <v>91</v>
      </c>
      <c r="I1274" s="223" t="s">
        <v>92</v>
      </c>
      <c r="J1274" s="213"/>
    </row>
    <row r="1275" spans="1:10" x14ac:dyDescent="0.25">
      <c r="A1275" s="444" t="s">
        <v>99</v>
      </c>
      <c r="B1275" s="445"/>
      <c r="C1275" s="446"/>
      <c r="D1275" s="211">
        <v>1</v>
      </c>
      <c r="E1275" s="235">
        <f>+IF(D1275="","",VLOOKUP(A1275,$L$4:$O$10,3,FALSE))</f>
        <v>142350</v>
      </c>
      <c r="F1275" s="236">
        <f>+IF(D1275="","",(VLOOKUP(A1275,$L$4:$O$10,4,FALSE))+1)</f>
        <v>1.5821008628015805</v>
      </c>
      <c r="G1275" s="219">
        <f>+IFERROR(F1275*E1275*D1275,"")</f>
        <v>225212.05781980499</v>
      </c>
      <c r="H1275" s="216">
        <v>2</v>
      </c>
      <c r="I1275" s="217">
        <f>IFERROR(G1275/H1275,"")</f>
        <v>112606.0289099025</v>
      </c>
      <c r="J1275" s="213"/>
    </row>
    <row r="1276" spans="1:10" ht="13.35" customHeight="1" x14ac:dyDescent="0.25">
      <c r="A1276" s="444" t="s">
        <v>93</v>
      </c>
      <c r="B1276" s="445"/>
      <c r="C1276" s="446"/>
      <c r="D1276" s="211">
        <v>1</v>
      </c>
      <c r="E1276" s="235">
        <f>+IF(D1276="","",VLOOKUP(A1276,$L$4:$O$10,3,FALSE))</f>
        <v>77842</v>
      </c>
      <c r="F1276" s="236">
        <f>+IF(D1276="","",(VLOOKUP(A1276,$L$4:$O$10,4,FALSE))+1)</f>
        <v>1.6752877632282406</v>
      </c>
      <c r="G1276" s="219">
        <f>+IFERROR(F1276*E1276*D1276,"")</f>
        <v>130407.75006521271</v>
      </c>
      <c r="H1276" s="216">
        <f>+H1275</f>
        <v>2</v>
      </c>
      <c r="I1276" s="217">
        <f t="shared" ref="I1276:I1277" si="127">IFERROR(G1276/H1276,"")</f>
        <v>65203.875032606353</v>
      </c>
      <c r="J1276" s="213"/>
    </row>
    <row r="1277" spans="1:10" ht="13.35" customHeight="1" x14ac:dyDescent="0.25">
      <c r="A1277" s="444"/>
      <c r="B1277" s="445"/>
      <c r="C1277" s="446"/>
      <c r="D1277" s="211"/>
      <c r="E1277" s="235" t="str">
        <f>+IF(D1277="","",VLOOKUP(A1277,$L$4:$O$10,3,FALSE))</f>
        <v/>
      </c>
      <c r="F1277" s="236" t="str">
        <f>+IF(D1277="","",(VLOOKUP(A1277,$L$4:$O$10,4,FALSE))+1)</f>
        <v/>
      </c>
      <c r="G1277" s="219" t="str">
        <f>+IFERROR(F1277*E1277*D1277,"")</f>
        <v/>
      </c>
      <c r="H1277" s="216" t="str">
        <f>+IF(D1277="","",IFERROR(H1276,""))</f>
        <v/>
      </c>
      <c r="I1277" s="217" t="str">
        <f t="shared" si="127"/>
        <v/>
      </c>
      <c r="J1277" s="213"/>
    </row>
    <row r="1278" spans="1:10" x14ac:dyDescent="0.25">
      <c r="A1278" s="444"/>
      <c r="B1278" s="445"/>
      <c r="C1278" s="446"/>
      <c r="D1278" s="213"/>
      <c r="E1278" s="213"/>
      <c r="F1278" s="213"/>
      <c r="G1278" s="213"/>
      <c r="H1278" s="211"/>
      <c r="I1278" s="217"/>
      <c r="J1278" s="213"/>
    </row>
    <row r="1279" spans="1:10" ht="14.45" customHeight="1" x14ac:dyDescent="0.25">
      <c r="A1279" s="437" t="s">
        <v>100</v>
      </c>
      <c r="B1279" s="438"/>
      <c r="C1279" s="438"/>
      <c r="D1279" s="438"/>
      <c r="E1279" s="438"/>
      <c r="F1279" s="438"/>
      <c r="G1279" s="438"/>
      <c r="H1279" s="438"/>
      <c r="I1279" s="439"/>
      <c r="J1279" s="217">
        <f>SUM(I1275:I1278)</f>
        <v>177809.90394250886</v>
      </c>
    </row>
    <row r="1280" spans="1:10" x14ac:dyDescent="0.25">
      <c r="A1280" s="462" t="str">
        <f>+[48]PRESUPUESTO!$B$1</f>
        <v>CONSTRUCCION DE 14 METROS BOX CULVERT EN EL SECTOR BARRIO NUEVO DE SANTA RITA, CABECERA MUNICIPAL DE RIO IRÓ - DEPARTAMENTO DEL CHOCÓ</v>
      </c>
      <c r="B1280" s="462"/>
      <c r="C1280" s="462"/>
      <c r="D1280" s="462"/>
      <c r="E1280" s="462"/>
      <c r="F1280" s="462"/>
      <c r="G1280" s="462"/>
      <c r="H1280" s="462"/>
      <c r="I1280" s="462"/>
      <c r="J1280" s="462"/>
    </row>
    <row r="1281" spans="1:10" ht="29.45" customHeight="1" x14ac:dyDescent="0.25">
      <c r="A1281" s="463"/>
      <c r="B1281" s="463"/>
      <c r="C1281" s="463"/>
      <c r="D1281" s="463"/>
      <c r="E1281" s="463"/>
      <c r="F1281" s="463"/>
      <c r="G1281" s="463"/>
      <c r="H1281" s="463"/>
      <c r="I1281" s="462"/>
      <c r="J1281" s="462"/>
    </row>
    <row r="1282" spans="1:10" ht="12.2" customHeight="1" x14ac:dyDescent="0.25">
      <c r="A1282" s="256" t="s">
        <v>78</v>
      </c>
      <c r="B1282" s="455" t="s">
        <v>79</v>
      </c>
      <c r="C1282" s="455"/>
      <c r="D1282" s="455"/>
      <c r="E1282" s="455"/>
      <c r="F1282" s="455"/>
      <c r="G1282" s="455"/>
      <c r="H1282" s="455"/>
      <c r="I1282" s="257" t="s">
        <v>80</v>
      </c>
      <c r="J1282" s="258" t="s">
        <v>81</v>
      </c>
    </row>
    <row r="1283" spans="1:10" ht="21.2" customHeight="1" x14ac:dyDescent="0.25">
      <c r="A1283" s="203">
        <v>8.1</v>
      </c>
      <c r="B1283" s="456" t="e">
        <f>+VLOOKUP(A1283,[48]PRESUPUESTO!$B$2:$D$19,2,FALSE)</f>
        <v>#N/A</v>
      </c>
      <c r="C1283" s="457"/>
      <c r="D1283" s="457"/>
      <c r="E1283" s="457"/>
      <c r="F1283" s="457"/>
      <c r="G1283" s="457"/>
      <c r="H1283" s="458"/>
      <c r="I1283" s="204" t="e">
        <f>+VLOOKUP(A1283,[48]PRESUPUESTO!$B$2:$D$19,3,FALSE)</f>
        <v>#N/A</v>
      </c>
      <c r="J1283" s="237">
        <f>+ROUND(SUM(J1291:J1320),0)</f>
        <v>117546</v>
      </c>
    </row>
    <row r="1284" spans="1:10" x14ac:dyDescent="0.25">
      <c r="A1284" s="459" t="s">
        <v>87</v>
      </c>
      <c r="B1284" s="459"/>
      <c r="C1284" s="459"/>
      <c r="D1284" s="459"/>
      <c r="E1284" s="459"/>
      <c r="F1284" s="459"/>
      <c r="G1284" s="459"/>
      <c r="H1284" s="459"/>
      <c r="I1284" s="442"/>
      <c r="J1284" s="442"/>
    </row>
    <row r="1285" spans="1:10" x14ac:dyDescent="0.25">
      <c r="A1285" s="460" t="s">
        <v>2</v>
      </c>
      <c r="B1285" s="460"/>
      <c r="C1285" s="460"/>
      <c r="D1285" s="460"/>
      <c r="E1285" s="460"/>
      <c r="F1285" s="223" t="s">
        <v>89</v>
      </c>
      <c r="G1285" s="234" t="s">
        <v>90</v>
      </c>
      <c r="H1285" s="223" t="s">
        <v>91</v>
      </c>
      <c r="I1285" s="223" t="s">
        <v>92</v>
      </c>
      <c r="J1285" s="213"/>
    </row>
    <row r="1286" spans="1:10" x14ac:dyDescent="0.25">
      <c r="A1286" s="451" t="s">
        <v>95</v>
      </c>
      <c r="B1286" s="451"/>
      <c r="C1286" s="451"/>
      <c r="D1286" s="451"/>
      <c r="E1286" s="451"/>
      <c r="F1286" s="214"/>
      <c r="G1286" s="215">
        <v>0.05</v>
      </c>
      <c r="H1286" s="216"/>
      <c r="I1286" s="217">
        <f>+J1320*G1286</f>
        <v>2222.6237992813608</v>
      </c>
      <c r="J1286" s="213"/>
    </row>
    <row r="1287" spans="1:10" x14ac:dyDescent="0.25">
      <c r="A1287" s="461" t="s">
        <v>161</v>
      </c>
      <c r="B1287" s="461"/>
      <c r="C1287" s="461"/>
      <c r="D1287" s="461"/>
      <c r="E1287" s="461"/>
      <c r="F1287" s="224" t="str">
        <f>+IF(A1287="","",VLOOKUP(A1287,[46]MATERIALES!$B$7:$D$1222,2,FALSE))</f>
        <v>DIA</v>
      </c>
      <c r="G1287" s="225">
        <f>+IF(A1287="","",VLOOKUP(A1287,[46]MATERIALES!$B$7:$E$1222,3,FALSE))</f>
        <v>20000</v>
      </c>
      <c r="H1287" s="238">
        <f>IF(A1287="","",1/H1316)</f>
        <v>0.125</v>
      </c>
      <c r="I1287" s="217">
        <f t="shared" ref="I1287:I1290" si="128">IFERROR(G1287*H1287,"")</f>
        <v>2500</v>
      </c>
      <c r="J1287" s="213"/>
    </row>
    <row r="1288" spans="1:10" x14ac:dyDescent="0.25">
      <c r="A1288" s="451"/>
      <c r="B1288" s="451"/>
      <c r="C1288" s="451"/>
      <c r="D1288" s="451"/>
      <c r="E1288" s="451"/>
      <c r="F1288" s="224" t="str">
        <f>+IF(A1288="","",VLOOKUP(A1288,[46]MATERIALES!$B$7:$D$1222,2,FALSE))</f>
        <v/>
      </c>
      <c r="G1288" s="225" t="str">
        <f>+IF(A1288="","",VLOOKUP(A1288,[46]MATERIALES!$B$7:$E$1222,3,FALSE))</f>
        <v/>
      </c>
      <c r="H1288" s="238" t="str">
        <f>IF(A1288="","",1/H1316)</f>
        <v/>
      </c>
      <c r="I1288" s="217" t="str">
        <f t="shared" si="128"/>
        <v/>
      </c>
      <c r="J1288" s="213"/>
    </row>
    <row r="1289" spans="1:10" x14ac:dyDescent="0.25">
      <c r="A1289" s="451"/>
      <c r="B1289" s="451"/>
      <c r="C1289" s="451"/>
      <c r="D1289" s="451"/>
      <c r="E1289" s="451"/>
      <c r="F1289" s="224" t="str">
        <f>+IF(A1289="","",VLOOKUP(A1289,[46]MATERIALES!$B$7:$D$1222,2,FALSE))</f>
        <v/>
      </c>
      <c r="G1289" s="225" t="str">
        <f>+IF(A1289="","",VLOOKUP(A1289,[46]MATERIALES!$B$7:$E$1222,3,FALSE))</f>
        <v/>
      </c>
      <c r="H1289" s="238" t="str">
        <f>IF(A1289="","",1/H1317)</f>
        <v/>
      </c>
      <c r="I1289" s="217" t="str">
        <f t="shared" si="128"/>
        <v/>
      </c>
      <c r="J1289" s="213"/>
    </row>
    <row r="1290" spans="1:10" x14ac:dyDescent="0.25">
      <c r="A1290" s="451"/>
      <c r="B1290" s="451"/>
      <c r="C1290" s="451"/>
      <c r="D1290" s="451"/>
      <c r="E1290" s="451"/>
      <c r="F1290" s="224" t="str">
        <f>+IF(A1290="","",VLOOKUP(A1290,[46]MATERIALES!$B$7:$D$1222,2,FALSE))</f>
        <v/>
      </c>
      <c r="G1290" s="225" t="str">
        <f>+IF(A1290="","",VLOOKUP(A1290,[46]MATERIALES!$B$7:$E$1222,3,FALSE))</f>
        <v/>
      </c>
      <c r="H1290" s="238"/>
      <c r="I1290" s="217" t="str">
        <f t="shared" si="128"/>
        <v/>
      </c>
      <c r="J1290" s="219"/>
    </row>
    <row r="1291" spans="1:10" x14ac:dyDescent="0.25">
      <c r="A1291" s="437" t="s">
        <v>100</v>
      </c>
      <c r="B1291" s="438"/>
      <c r="C1291" s="438"/>
      <c r="D1291" s="438"/>
      <c r="E1291" s="438"/>
      <c r="F1291" s="438"/>
      <c r="G1291" s="438"/>
      <c r="H1291" s="438"/>
      <c r="I1291" s="439"/>
      <c r="J1291" s="217">
        <f>+SUM(I1286:I1290)</f>
        <v>4722.6237992813603</v>
      </c>
    </row>
    <row r="1292" spans="1:10" x14ac:dyDescent="0.25">
      <c r="A1292" s="442" t="s">
        <v>101</v>
      </c>
      <c r="B1292" s="442"/>
      <c r="C1292" s="442"/>
      <c r="D1292" s="442"/>
      <c r="E1292" s="442"/>
      <c r="F1292" s="442"/>
      <c r="G1292" s="442"/>
      <c r="H1292" s="442"/>
      <c r="I1292" s="442"/>
      <c r="J1292" s="442"/>
    </row>
    <row r="1293" spans="1:10" x14ac:dyDescent="0.25">
      <c r="A1293" s="452" t="s">
        <v>2</v>
      </c>
      <c r="B1293" s="453"/>
      <c r="C1293" s="453"/>
      <c r="D1293" s="454"/>
      <c r="E1293" s="223" t="s">
        <v>3</v>
      </c>
      <c r="F1293" s="223" t="s">
        <v>102</v>
      </c>
      <c r="G1293" s="223" t="s">
        <v>4</v>
      </c>
      <c r="H1293" s="223" t="s">
        <v>103</v>
      </c>
      <c r="I1293" s="223" t="s">
        <v>92</v>
      </c>
      <c r="J1293" s="213"/>
    </row>
    <row r="1294" spans="1:10" x14ac:dyDescent="0.25">
      <c r="A1294" s="448" t="s">
        <v>186</v>
      </c>
      <c r="B1294" s="449"/>
      <c r="C1294" s="449"/>
      <c r="D1294" s="449"/>
      <c r="E1294" s="224" t="str">
        <f>+IF(A1294="","",VLOOKUP(A1294,[46]MATERIALES!$B$7:$D$225,2,FALSE))</f>
        <v>UN</v>
      </c>
      <c r="F1294" s="225">
        <f>+IF(A1294="","",VLOOKUP(A1294,[46]MATERIALES!$B$7:$E$225,3,FALSE))</f>
        <v>64900</v>
      </c>
      <c r="G1294" s="238">
        <v>1</v>
      </c>
      <c r="H1294" s="227"/>
      <c r="I1294" s="217">
        <f>IFERROR(F1294*G1294*(1+H1294),"")</f>
        <v>64900</v>
      </c>
      <c r="J1294" s="213"/>
    </row>
    <row r="1295" spans="1:10" ht="13.35" customHeight="1" x14ac:dyDescent="0.25">
      <c r="A1295" s="448" t="s">
        <v>130</v>
      </c>
      <c r="B1295" s="449"/>
      <c r="C1295" s="449"/>
      <c r="D1295" s="450"/>
      <c r="E1295" s="224" t="str">
        <f>+IF(A1295="","",VLOOKUP(A1295,[46]MATERIALES!$B$7:$D$225,2,FALSE))</f>
        <v>UN</v>
      </c>
      <c r="F1295" s="225">
        <f>+IF(A1295="","",VLOOKUP(A1295,[46]MATERIALES!$B$7:$E$225,3,FALSE))</f>
        <v>85400</v>
      </c>
      <c r="G1295" s="238">
        <v>1.7999999999999999E-2</v>
      </c>
      <c r="H1295" s="227">
        <v>0.05</v>
      </c>
      <c r="I1295" s="217">
        <f t="shared" ref="I1295:I1303" si="129">IFERROR(F1295*G1295*(1+H1295),"")</f>
        <v>1614.06</v>
      </c>
      <c r="J1295" s="213"/>
    </row>
    <row r="1296" spans="1:10" ht="13.35" customHeight="1" x14ac:dyDescent="0.25">
      <c r="A1296" s="448" t="s">
        <v>131</v>
      </c>
      <c r="B1296" s="449"/>
      <c r="C1296" s="449"/>
      <c r="D1296" s="449"/>
      <c r="E1296" s="224" t="str">
        <f>+IF(A1296="","",VLOOKUP(A1296,[46]MATERIALES!$B$7:$D$225,2,FALSE))</f>
        <v>un</v>
      </c>
      <c r="F1296" s="225">
        <f>+IF(A1296="","",VLOOKUP(A1296,[46]MATERIALES!$B$7:$E$225,3,FALSE))</f>
        <v>54900</v>
      </c>
      <c r="G1296" s="238">
        <v>1.7999999999999999E-2</v>
      </c>
      <c r="H1296" s="227">
        <v>0.05</v>
      </c>
      <c r="I1296" s="217">
        <f t="shared" si="129"/>
        <v>1037.6099999999999</v>
      </c>
      <c r="J1296" s="213"/>
    </row>
    <row r="1297" spans="1:10" ht="13.35" customHeight="1" x14ac:dyDescent="0.25">
      <c r="A1297" s="448" t="s">
        <v>132</v>
      </c>
      <c r="B1297" s="449"/>
      <c r="C1297" s="449"/>
      <c r="D1297" s="449"/>
      <c r="E1297" s="224" t="str">
        <f>+IF(A1297="","",VLOOKUP(A1297,[46]MATERIALES!$B$7:$D$225,2,FALSE))</f>
        <v>Libra</v>
      </c>
      <c r="F1297" s="225">
        <f>+IF(A1297="","",VLOOKUP(A1297,[46]MATERIALES!$B$7:$E$225,3,FALSE))</f>
        <v>7800</v>
      </c>
      <c r="G1297" s="226">
        <v>0.1</v>
      </c>
      <c r="H1297" s="227">
        <v>0.05</v>
      </c>
      <c r="I1297" s="217">
        <f t="shared" si="129"/>
        <v>819</v>
      </c>
      <c r="J1297" s="213"/>
    </row>
    <row r="1298" spans="1:10" x14ac:dyDescent="0.25">
      <c r="A1298" s="448"/>
      <c r="B1298" s="449"/>
      <c r="C1298" s="449"/>
      <c r="D1298" s="449"/>
      <c r="E1298" s="224" t="str">
        <f>+IF(A1298="","",VLOOKUP(A1298,[46]MATERIALES!$B$7:$D$225,2,FALSE))</f>
        <v/>
      </c>
      <c r="F1298" s="225" t="str">
        <f>+IF(A1298="","",VLOOKUP(A1298,[46]MATERIALES!$B$7:$E$225,3,FALSE))</f>
        <v/>
      </c>
      <c r="G1298" s="238"/>
      <c r="H1298" s="227"/>
      <c r="I1298" s="217" t="str">
        <f t="shared" si="129"/>
        <v/>
      </c>
      <c r="J1298" s="213"/>
    </row>
    <row r="1299" spans="1:10" x14ac:dyDescent="0.25">
      <c r="A1299" s="448"/>
      <c r="B1299" s="449"/>
      <c r="C1299" s="449"/>
      <c r="D1299" s="449"/>
      <c r="E1299" s="224" t="str">
        <f>+IF(A1299="","",VLOOKUP(A1299,[46]MATERIALES!$B$7:$D$225,2,FALSE))</f>
        <v/>
      </c>
      <c r="F1299" s="225" t="str">
        <f>+IF(A1299="","",VLOOKUP(A1299,[46]MATERIALES!$B$7:$E$225,3,FALSE))</f>
        <v/>
      </c>
      <c r="G1299" s="226"/>
      <c r="H1299" s="227"/>
      <c r="I1299" s="217" t="str">
        <f t="shared" si="129"/>
        <v/>
      </c>
      <c r="J1299" s="213"/>
    </row>
    <row r="1300" spans="1:10" x14ac:dyDescent="0.25">
      <c r="A1300" s="448"/>
      <c r="B1300" s="449"/>
      <c r="C1300" s="449"/>
      <c r="D1300" s="450"/>
      <c r="E1300" s="224" t="str">
        <f>+IF(A1300="","",VLOOKUP(A1300,[46]MATERIALES!$B$7:$D$225,2,FALSE))</f>
        <v/>
      </c>
      <c r="F1300" s="225" t="str">
        <f>+IF(A1300="","",VLOOKUP(A1300,[46]MATERIALES!$B$7:$E$225,3,FALSE))</f>
        <v/>
      </c>
      <c r="G1300" s="226"/>
      <c r="H1300" s="227"/>
      <c r="I1300" s="217" t="str">
        <f t="shared" si="129"/>
        <v/>
      </c>
      <c r="J1300" s="213"/>
    </row>
    <row r="1301" spans="1:10" x14ac:dyDescent="0.25">
      <c r="A1301" s="448"/>
      <c r="B1301" s="449"/>
      <c r="C1301" s="449"/>
      <c r="D1301" s="449"/>
      <c r="E1301" s="224" t="str">
        <f>+IF(A1301="","",VLOOKUP(A1301,[46]MATERIALES!$B$7:$D$225,2,FALSE))</f>
        <v/>
      </c>
      <c r="F1301" s="225" t="str">
        <f>+IF(A1301="","",VLOOKUP(A1301,[46]MATERIALES!$B$7:$E$225,3,FALSE))</f>
        <v/>
      </c>
      <c r="G1301" s="226"/>
      <c r="H1301" s="227"/>
      <c r="I1301" s="217" t="str">
        <f t="shared" si="129"/>
        <v/>
      </c>
      <c r="J1301" s="213"/>
    </row>
    <row r="1302" spans="1:10" x14ac:dyDescent="0.25">
      <c r="A1302" s="444"/>
      <c r="B1302" s="445"/>
      <c r="C1302" s="445"/>
      <c r="D1302" s="445"/>
      <c r="E1302" s="224" t="str">
        <f>+IF(A1302="","",VLOOKUP(A1302,[46]MATERIALES!$B$7:$D$225,2,FALSE))</f>
        <v/>
      </c>
      <c r="F1302" s="225" t="str">
        <f>+IF(A1302="","",VLOOKUP(A1302,[46]MATERIALES!$B$7:$E$225,3,FALSE))</f>
        <v/>
      </c>
      <c r="G1302" s="226"/>
      <c r="H1302" s="227"/>
      <c r="I1302" s="217" t="str">
        <f t="shared" si="129"/>
        <v/>
      </c>
      <c r="J1302" s="213"/>
    </row>
    <row r="1303" spans="1:10" x14ac:dyDescent="0.25">
      <c r="A1303" s="444"/>
      <c r="B1303" s="445"/>
      <c r="C1303" s="445"/>
      <c r="D1303" s="445"/>
      <c r="E1303" s="224" t="str">
        <f>+IF(A1303="","",VLOOKUP(A1303,[46]MATERIALES!$B$7:$D$225,2,FALSE))</f>
        <v/>
      </c>
      <c r="F1303" s="225" t="str">
        <f>+IF(A1303="","",VLOOKUP(A1303,[46]MATERIALES!$B$7:$E$225,3,FALSE))</f>
        <v/>
      </c>
      <c r="G1303" s="226"/>
      <c r="H1303" s="227"/>
      <c r="I1303" s="217" t="str">
        <f t="shared" si="129"/>
        <v/>
      </c>
      <c r="J1303" s="213"/>
    </row>
    <row r="1304" spans="1:10" x14ac:dyDescent="0.25">
      <c r="A1304" s="444"/>
      <c r="B1304" s="445"/>
      <c r="C1304" s="445"/>
      <c r="D1304" s="445"/>
      <c r="E1304" s="224"/>
      <c r="F1304" s="225"/>
      <c r="G1304" s="226"/>
      <c r="H1304" s="227"/>
      <c r="I1304" s="217"/>
      <c r="J1304" s="213"/>
    </row>
    <row r="1305" spans="1:10" x14ac:dyDescent="0.25">
      <c r="A1305" s="444"/>
      <c r="B1305" s="445"/>
      <c r="C1305" s="445"/>
      <c r="D1305" s="445"/>
      <c r="E1305" s="213"/>
      <c r="F1305" s="214"/>
      <c r="G1305" s="218"/>
      <c r="H1305" s="227"/>
      <c r="I1305" s="217">
        <f>IFERROR(F1305*G1305*(1+H1305),"")</f>
        <v>0</v>
      </c>
      <c r="J1305" s="213"/>
    </row>
    <row r="1306" spans="1:10" x14ac:dyDescent="0.25">
      <c r="A1306" s="437" t="s">
        <v>100</v>
      </c>
      <c r="B1306" s="438"/>
      <c r="C1306" s="438"/>
      <c r="D1306" s="438"/>
      <c r="E1306" s="438"/>
      <c r="F1306" s="438"/>
      <c r="G1306" s="438"/>
      <c r="H1306" s="438"/>
      <c r="I1306" s="439"/>
      <c r="J1306" s="217">
        <f>SUM(I1294:I1305)</f>
        <v>68370.67</v>
      </c>
    </row>
    <row r="1307" spans="1:10" x14ac:dyDescent="0.25">
      <c r="A1307" s="442" t="s">
        <v>106</v>
      </c>
      <c r="B1307" s="442"/>
      <c r="C1307" s="442"/>
      <c r="D1307" s="442"/>
      <c r="E1307" s="442"/>
      <c r="F1307" s="442"/>
      <c r="G1307" s="442"/>
      <c r="H1307" s="442"/>
      <c r="I1307" s="442"/>
      <c r="J1307" s="442"/>
    </row>
    <row r="1308" spans="1:10" ht="22.5" x14ac:dyDescent="0.25">
      <c r="A1308" s="443" t="s">
        <v>107</v>
      </c>
      <c r="B1308" s="443"/>
      <c r="C1308" s="443"/>
      <c r="D1308" s="443"/>
      <c r="E1308" s="223" t="s">
        <v>108</v>
      </c>
      <c r="F1308" s="230" t="s">
        <v>109</v>
      </c>
      <c r="G1308" s="223" t="s">
        <v>110</v>
      </c>
      <c r="H1308" s="223" t="s">
        <v>111</v>
      </c>
      <c r="I1308" s="223" t="s">
        <v>92</v>
      </c>
      <c r="J1308" s="213"/>
    </row>
    <row r="1309" spans="1:10" x14ac:dyDescent="0.25">
      <c r="A1309" s="447" t="s">
        <v>160</v>
      </c>
      <c r="B1309" s="447"/>
      <c r="C1309" s="447"/>
      <c r="D1309" s="447"/>
      <c r="E1309" s="216" t="e">
        <f>+IF(A1309="","",VLOOKUP(A1309,[46]MATERIALES!$B$7:$E$1222,2,FALSE))</f>
        <v>#N/A</v>
      </c>
      <c r="F1309" s="224">
        <v>0.05</v>
      </c>
      <c r="G1309" s="231" t="e">
        <f>+IF(A1309="","",VLOOKUP(A1309,[46]MATERIALES!$B$7:$E$1222,4,FALSE))</f>
        <v>#N/A</v>
      </c>
      <c r="H1309" s="216" t="e">
        <f>+IF(A1309="","",VLOOKUP(A1309,[46]MATERIALES!$B$7:$E$1222,3,FALSE))</f>
        <v>#N/A</v>
      </c>
      <c r="I1309" s="217" t="str">
        <f>IFERROR(G1309*H1309*F1309,"")</f>
        <v/>
      </c>
      <c r="J1309" s="213"/>
    </row>
    <row r="1310" spans="1:10" x14ac:dyDescent="0.25">
      <c r="A1310" s="447"/>
      <c r="B1310" s="447"/>
      <c r="C1310" s="447"/>
      <c r="D1310" s="447"/>
      <c r="E1310" s="216" t="str">
        <f>+IF(A1310="","",VLOOKUP(A1310,[46]MATERIALES!$B$7:$E$1222,2,FALSE))</f>
        <v/>
      </c>
      <c r="F1310" s="224"/>
      <c r="G1310" s="231" t="str">
        <f>+IF(A1310="","",VLOOKUP(A1310,[46]MATERIALES!$B$7:$E$1222,4,FALSE))</f>
        <v/>
      </c>
      <c r="H1310" s="216" t="str">
        <f>+IF(A1310="","",VLOOKUP(A1310,[46]MATERIALES!$B$7:$E$1222,3,FALSE))</f>
        <v/>
      </c>
      <c r="I1310" s="217" t="str">
        <f>IFERROR(G1310*H1310*F1310,"")</f>
        <v/>
      </c>
      <c r="J1310" s="213"/>
    </row>
    <row r="1311" spans="1:10" x14ac:dyDescent="0.25">
      <c r="A1311" s="447"/>
      <c r="B1311" s="447"/>
      <c r="C1311" s="447"/>
      <c r="D1311" s="447"/>
      <c r="E1311" s="213"/>
      <c r="F1311" s="214"/>
      <c r="G1311" s="233"/>
      <c r="H1311" s="216"/>
      <c r="I1311" s="219"/>
      <c r="J1311" s="213"/>
    </row>
    <row r="1312" spans="1:10" x14ac:dyDescent="0.25">
      <c r="A1312" s="447"/>
      <c r="B1312" s="447"/>
      <c r="C1312" s="447"/>
      <c r="D1312" s="447"/>
      <c r="E1312" s="213"/>
      <c r="F1312" s="213"/>
      <c r="G1312" s="213"/>
      <c r="H1312" s="211"/>
      <c r="I1312" s="213"/>
      <c r="J1312" s="213"/>
    </row>
    <row r="1313" spans="1:10" x14ac:dyDescent="0.25">
      <c r="A1313" s="437" t="s">
        <v>100</v>
      </c>
      <c r="B1313" s="438"/>
      <c r="C1313" s="438"/>
      <c r="D1313" s="438"/>
      <c r="E1313" s="438"/>
      <c r="F1313" s="438"/>
      <c r="G1313" s="438"/>
      <c r="H1313" s="438"/>
      <c r="I1313" s="439"/>
      <c r="J1313" s="217">
        <f>SUM(I1309:I1312)</f>
        <v>0</v>
      </c>
    </row>
    <row r="1314" spans="1:10" x14ac:dyDescent="0.25">
      <c r="A1314" s="442" t="s">
        <v>112</v>
      </c>
      <c r="B1314" s="442"/>
      <c r="C1314" s="442"/>
      <c r="D1314" s="442"/>
      <c r="E1314" s="442"/>
      <c r="F1314" s="442"/>
      <c r="G1314" s="442"/>
      <c r="H1314" s="442"/>
      <c r="I1314" s="442"/>
      <c r="J1314" s="442"/>
    </row>
    <row r="1315" spans="1:10" x14ac:dyDescent="0.25">
      <c r="A1315" s="443" t="s">
        <v>113</v>
      </c>
      <c r="B1315" s="443"/>
      <c r="C1315" s="443"/>
      <c r="D1315" s="443"/>
      <c r="E1315" s="223" t="s">
        <v>114</v>
      </c>
      <c r="F1315" s="223" t="s">
        <v>115</v>
      </c>
      <c r="G1315" s="234" t="s">
        <v>116</v>
      </c>
      <c r="H1315" s="223" t="s">
        <v>91</v>
      </c>
      <c r="I1315" s="223" t="s">
        <v>92</v>
      </c>
      <c r="J1315" s="213"/>
    </row>
    <row r="1316" spans="1:10" x14ac:dyDescent="0.25">
      <c r="A1316" s="444" t="s">
        <v>99</v>
      </c>
      <c r="B1316" s="445"/>
      <c r="C1316" s="446"/>
      <c r="D1316" s="211">
        <v>1</v>
      </c>
      <c r="E1316" s="235">
        <f>+IF(D1316="","",VLOOKUP(A1316,$L$4:$O$10,3,FALSE))</f>
        <v>142350</v>
      </c>
      <c r="F1316" s="236">
        <f>+IF(D1316="","",(VLOOKUP(A1316,$L$4:$O$10,4,FALSE))+1)</f>
        <v>1.5821008628015805</v>
      </c>
      <c r="G1316" s="219">
        <f>+IFERROR(F1316*E1316*D1316,"")</f>
        <v>225212.05781980499</v>
      </c>
      <c r="H1316" s="216">
        <v>8</v>
      </c>
      <c r="I1316" s="217">
        <f>IFERROR(G1316/H1316,"")</f>
        <v>28151.507227475624</v>
      </c>
      <c r="J1316" s="213"/>
    </row>
    <row r="1317" spans="1:10" ht="13.35" customHeight="1" x14ac:dyDescent="0.25">
      <c r="A1317" s="444" t="s">
        <v>93</v>
      </c>
      <c r="B1317" s="445"/>
      <c r="C1317" s="446"/>
      <c r="D1317" s="211">
        <v>1</v>
      </c>
      <c r="E1317" s="235">
        <f>+IF(D1317="","",VLOOKUP(A1317,$L$4:$O$10,3,FALSE))</f>
        <v>77842</v>
      </c>
      <c r="F1317" s="236">
        <f>+IF(D1317="","",(VLOOKUP(A1317,$L$4:$O$10,4,FALSE))+1)</f>
        <v>1.6752877632282406</v>
      </c>
      <c r="G1317" s="219">
        <f>+IFERROR(F1317*E1317*D1317,"")</f>
        <v>130407.75006521271</v>
      </c>
      <c r="H1317" s="216">
        <f>+H1316</f>
        <v>8</v>
      </c>
      <c r="I1317" s="217">
        <f t="shared" ref="I1317:I1318" si="130">IFERROR(G1317/H1317,"")</f>
        <v>16300.968758151588</v>
      </c>
      <c r="J1317" s="213"/>
    </row>
    <row r="1318" spans="1:10" ht="13.35" customHeight="1" x14ac:dyDescent="0.25">
      <c r="A1318" s="444"/>
      <c r="B1318" s="445"/>
      <c r="C1318" s="446"/>
      <c r="D1318" s="211"/>
      <c r="E1318" s="235" t="str">
        <f>+IF(D1318="","",VLOOKUP(A1318,$L$4:$O$10,3,FALSE))</f>
        <v/>
      </c>
      <c r="F1318" s="236" t="str">
        <f>+IF(D1318="","",(VLOOKUP(A1318,$L$4:$O$10,4,FALSE))+1)</f>
        <v/>
      </c>
      <c r="G1318" s="219" t="str">
        <f>+IFERROR(F1318*E1318*D1318,"")</f>
        <v/>
      </c>
      <c r="H1318" s="216" t="str">
        <f>+IF(D1318="","",IFERROR(H1317,""))</f>
        <v/>
      </c>
      <c r="I1318" s="217" t="str">
        <f t="shared" si="130"/>
        <v/>
      </c>
      <c r="J1318" s="213"/>
    </row>
    <row r="1319" spans="1:10" x14ac:dyDescent="0.25">
      <c r="A1319" s="444"/>
      <c r="B1319" s="445"/>
      <c r="C1319" s="446"/>
      <c r="D1319" s="213"/>
      <c r="E1319" s="213"/>
      <c r="F1319" s="213"/>
      <c r="G1319" s="213"/>
      <c r="H1319" s="211"/>
      <c r="I1319" s="217"/>
      <c r="J1319" s="213"/>
    </row>
    <row r="1320" spans="1:10" ht="14.45" customHeight="1" x14ac:dyDescent="0.25">
      <c r="A1320" s="437" t="s">
        <v>100</v>
      </c>
      <c r="B1320" s="438"/>
      <c r="C1320" s="438"/>
      <c r="D1320" s="438"/>
      <c r="E1320" s="438"/>
      <c r="F1320" s="438"/>
      <c r="G1320" s="438"/>
      <c r="H1320" s="438"/>
      <c r="I1320" s="439"/>
      <c r="J1320" s="217">
        <f>SUM(I1316:I1319)</f>
        <v>44452.475985627214</v>
      </c>
    </row>
    <row r="1321" spans="1:10" x14ac:dyDescent="0.25">
      <c r="A1321" s="462" t="str">
        <f>+[48]PRESUPUESTO!$B$1</f>
        <v>CONSTRUCCION DE 14 METROS BOX CULVERT EN EL SECTOR BARRIO NUEVO DE SANTA RITA, CABECERA MUNICIPAL DE RIO IRÓ - DEPARTAMENTO DEL CHOCÓ</v>
      </c>
      <c r="B1321" s="462"/>
      <c r="C1321" s="462"/>
      <c r="D1321" s="462"/>
      <c r="E1321" s="462"/>
      <c r="F1321" s="462"/>
      <c r="G1321" s="462"/>
      <c r="H1321" s="462"/>
      <c r="I1321" s="462"/>
      <c r="J1321" s="462"/>
    </row>
    <row r="1322" spans="1:10" ht="29.45" customHeight="1" x14ac:dyDescent="0.25">
      <c r="A1322" s="463"/>
      <c r="B1322" s="463"/>
      <c r="C1322" s="463"/>
      <c r="D1322" s="463"/>
      <c r="E1322" s="463"/>
      <c r="F1322" s="463"/>
      <c r="G1322" s="463"/>
      <c r="H1322" s="463"/>
      <c r="I1322" s="462"/>
      <c r="J1322" s="462"/>
    </row>
    <row r="1323" spans="1:10" ht="12.2" customHeight="1" x14ac:dyDescent="0.25">
      <c r="A1323" s="256" t="s">
        <v>78</v>
      </c>
      <c r="B1323" s="455" t="s">
        <v>79</v>
      </c>
      <c r="C1323" s="455"/>
      <c r="D1323" s="455"/>
      <c r="E1323" s="455"/>
      <c r="F1323" s="455"/>
      <c r="G1323" s="455"/>
      <c r="H1323" s="455"/>
      <c r="I1323" s="257" t="s">
        <v>80</v>
      </c>
      <c r="J1323" s="258" t="s">
        <v>81</v>
      </c>
    </row>
    <row r="1324" spans="1:10" ht="21.2" customHeight="1" x14ac:dyDescent="0.25">
      <c r="A1324" s="203">
        <v>8.11</v>
      </c>
      <c r="B1324" s="456" t="e">
        <f>+VLOOKUP(A1324,[48]PRESUPUESTO!$B$2:$D$19,2,FALSE)</f>
        <v>#N/A</v>
      </c>
      <c r="C1324" s="457"/>
      <c r="D1324" s="457"/>
      <c r="E1324" s="457"/>
      <c r="F1324" s="457"/>
      <c r="G1324" s="457"/>
      <c r="H1324" s="458"/>
      <c r="I1324" s="204" t="e">
        <f>+VLOOKUP(A1324,[48]PRESUPUESTO!$B$2:$D$19,3,FALSE)</f>
        <v>#N/A</v>
      </c>
      <c r="J1324" s="237">
        <f>+ROUND(SUM(J1332:J1361),0)</f>
        <v>1683441</v>
      </c>
    </row>
    <row r="1325" spans="1:10" x14ac:dyDescent="0.25">
      <c r="A1325" s="459" t="s">
        <v>87</v>
      </c>
      <c r="B1325" s="459"/>
      <c r="C1325" s="459"/>
      <c r="D1325" s="459"/>
      <c r="E1325" s="459"/>
      <c r="F1325" s="459"/>
      <c r="G1325" s="459"/>
      <c r="H1325" s="459"/>
      <c r="I1325" s="442"/>
      <c r="J1325" s="442"/>
    </row>
    <row r="1326" spans="1:10" x14ac:dyDescent="0.25">
      <c r="A1326" s="460" t="s">
        <v>2</v>
      </c>
      <c r="B1326" s="460"/>
      <c r="C1326" s="460"/>
      <c r="D1326" s="460"/>
      <c r="E1326" s="460"/>
      <c r="F1326" s="223" t="s">
        <v>89</v>
      </c>
      <c r="G1326" s="234" t="s">
        <v>90</v>
      </c>
      <c r="H1326" s="223" t="s">
        <v>91</v>
      </c>
      <c r="I1326" s="223" t="s">
        <v>92</v>
      </c>
      <c r="J1326" s="213"/>
    </row>
    <row r="1327" spans="1:10" x14ac:dyDescent="0.25">
      <c r="A1327" s="451" t="s">
        <v>95</v>
      </c>
      <c r="B1327" s="451"/>
      <c r="C1327" s="451"/>
      <c r="D1327" s="451"/>
      <c r="E1327" s="451"/>
      <c r="F1327" s="214"/>
      <c r="G1327" s="215">
        <v>0.05</v>
      </c>
      <c r="H1327" s="216"/>
      <c r="I1327" s="217">
        <f>+J1361*G1327</f>
        <v>22447.671622002355</v>
      </c>
      <c r="J1327" s="213"/>
    </row>
    <row r="1328" spans="1:10" x14ac:dyDescent="0.25">
      <c r="A1328" s="461" t="s">
        <v>161</v>
      </c>
      <c r="B1328" s="461"/>
      <c r="C1328" s="461"/>
      <c r="D1328" s="461"/>
      <c r="E1328" s="461"/>
      <c r="F1328" s="224" t="str">
        <f>+IF(A1328="","",VLOOKUP(A1328,[46]MATERIALES!$B$7:$D$1222,2,FALSE))</f>
        <v>DIA</v>
      </c>
      <c r="G1328" s="225">
        <f>+IF(A1328="","",VLOOKUP(A1328,[46]MATERIALES!$B$7:$E$1222,3,FALSE))</f>
        <v>20000</v>
      </c>
      <c r="H1328" s="238">
        <f>IF(A1328="","",1/H1357)</f>
        <v>1</v>
      </c>
      <c r="I1328" s="217">
        <f t="shared" ref="I1328:I1331" si="131">IFERROR(G1328*H1328,"")</f>
        <v>20000</v>
      </c>
      <c r="J1328" s="213"/>
    </row>
    <row r="1329" spans="1:10" x14ac:dyDescent="0.25">
      <c r="A1329" s="451" t="s">
        <v>149</v>
      </c>
      <c r="B1329" s="451"/>
      <c r="C1329" s="451"/>
      <c r="D1329" s="451"/>
      <c r="E1329" s="451"/>
      <c r="F1329" s="224" t="str">
        <f>+IF(A1329="","",VLOOKUP(A1329,[46]MATERIALES!$B$7:$D$1222,2,FALSE))</f>
        <v>DIA</v>
      </c>
      <c r="G1329" s="225">
        <f>+IF(A1329="","",VLOOKUP(A1329,[46]MATERIALES!$B$7:$E$1222,3,FALSE))</f>
        <v>3500</v>
      </c>
      <c r="H1329" s="238">
        <f>IF(A1329="","",2/H1357)</f>
        <v>2</v>
      </c>
      <c r="I1329" s="217">
        <f t="shared" si="131"/>
        <v>7000</v>
      </c>
      <c r="J1329" s="213"/>
    </row>
    <row r="1330" spans="1:10" x14ac:dyDescent="0.25">
      <c r="A1330" s="451"/>
      <c r="B1330" s="451"/>
      <c r="C1330" s="451"/>
      <c r="D1330" s="451"/>
      <c r="E1330" s="451"/>
      <c r="F1330" s="224" t="str">
        <f>+IF(A1330="","",VLOOKUP(A1330,[46]MATERIALES!$B$7:$D$1222,2,FALSE))</f>
        <v/>
      </c>
      <c r="G1330" s="225" t="str">
        <f>+IF(A1330="","",VLOOKUP(A1330,[46]MATERIALES!$B$7:$E$1222,3,FALSE))</f>
        <v/>
      </c>
      <c r="H1330" s="238" t="str">
        <f>IF(A1330="","",1/H1358)</f>
        <v/>
      </c>
      <c r="I1330" s="217" t="str">
        <f t="shared" si="131"/>
        <v/>
      </c>
      <c r="J1330" s="213"/>
    </row>
    <row r="1331" spans="1:10" x14ac:dyDescent="0.25">
      <c r="A1331" s="451"/>
      <c r="B1331" s="451"/>
      <c r="C1331" s="451"/>
      <c r="D1331" s="451"/>
      <c r="E1331" s="451"/>
      <c r="F1331" s="224" t="str">
        <f>+IF(A1331="","",VLOOKUP(A1331,[46]MATERIALES!$B$7:$D$1222,2,FALSE))</f>
        <v/>
      </c>
      <c r="G1331" s="225" t="str">
        <f>+IF(A1331="","",VLOOKUP(A1331,[46]MATERIALES!$B$7:$E$1222,3,FALSE))</f>
        <v/>
      </c>
      <c r="H1331" s="238"/>
      <c r="I1331" s="217" t="str">
        <f t="shared" si="131"/>
        <v/>
      </c>
      <c r="J1331" s="219"/>
    </row>
    <row r="1332" spans="1:10" x14ac:dyDescent="0.25">
      <c r="A1332" s="437" t="s">
        <v>100</v>
      </c>
      <c r="B1332" s="438"/>
      <c r="C1332" s="438"/>
      <c r="D1332" s="438"/>
      <c r="E1332" s="438"/>
      <c r="F1332" s="438"/>
      <c r="G1332" s="438"/>
      <c r="H1332" s="438"/>
      <c r="I1332" s="439"/>
      <c r="J1332" s="217">
        <f>+SUM(I1327:I1331)</f>
        <v>49447.671622002352</v>
      </c>
    </row>
    <row r="1333" spans="1:10" x14ac:dyDescent="0.25">
      <c r="A1333" s="442" t="s">
        <v>101</v>
      </c>
      <c r="B1333" s="442"/>
      <c r="C1333" s="442"/>
      <c r="D1333" s="442"/>
      <c r="E1333" s="442"/>
      <c r="F1333" s="442"/>
      <c r="G1333" s="442"/>
      <c r="H1333" s="442"/>
      <c r="I1333" s="442"/>
      <c r="J1333" s="442"/>
    </row>
    <row r="1334" spans="1:10" x14ac:dyDescent="0.25">
      <c r="A1334" s="452" t="s">
        <v>2</v>
      </c>
      <c r="B1334" s="453"/>
      <c r="C1334" s="453"/>
      <c r="D1334" s="454"/>
      <c r="E1334" s="223" t="s">
        <v>3</v>
      </c>
      <c r="F1334" s="223" t="s">
        <v>102</v>
      </c>
      <c r="G1334" s="223" t="s">
        <v>4</v>
      </c>
      <c r="H1334" s="223" t="s">
        <v>103</v>
      </c>
      <c r="I1334" s="223" t="s">
        <v>92</v>
      </c>
      <c r="J1334" s="213"/>
    </row>
    <row r="1335" spans="1:10" x14ac:dyDescent="0.25">
      <c r="A1335" s="448" t="s">
        <v>187</v>
      </c>
      <c r="B1335" s="449"/>
      <c r="C1335" s="449"/>
      <c r="D1335" s="449"/>
      <c r="E1335" s="224" t="str">
        <f>+IF(A1335="","",VLOOKUP(A1335,[46]MATERIALES!$B$7:$D$225,2,FALSE))</f>
        <v>UN</v>
      </c>
      <c r="F1335" s="225">
        <f>+IF(A1335="","",VLOOKUP(A1335,[46]MATERIALES!$B$7:$E$225,3,FALSE))</f>
        <v>1070900</v>
      </c>
      <c r="G1335" s="238">
        <v>1</v>
      </c>
      <c r="H1335" s="227"/>
      <c r="I1335" s="217">
        <f>IFERROR(F1335*G1335*(1+H1335),"")</f>
        <v>1070900</v>
      </c>
      <c r="J1335" s="213"/>
    </row>
    <row r="1336" spans="1:10" ht="13.35" customHeight="1" x14ac:dyDescent="0.25">
      <c r="A1336" s="448" t="s">
        <v>188</v>
      </c>
      <c r="B1336" s="449"/>
      <c r="C1336" s="449"/>
      <c r="D1336" s="450"/>
      <c r="E1336" s="224" t="str">
        <f>+IF(A1336="","",VLOOKUP(A1336,[46]MATERIALES!$B$7:$D$225,2,FALSE))</f>
        <v>UN</v>
      </c>
      <c r="F1336" s="225">
        <f>+IF(A1336="","",VLOOKUP(A1336,[46]MATERIALES!$B$7:$E$225,3,FALSE))</f>
        <v>6000</v>
      </c>
      <c r="G1336" s="238">
        <v>1</v>
      </c>
      <c r="H1336" s="227"/>
      <c r="I1336" s="217">
        <f t="shared" ref="I1336:I1345" si="132">IFERROR(F1336*G1336*(1+H1336),"")</f>
        <v>6000</v>
      </c>
      <c r="J1336" s="213"/>
    </row>
    <row r="1337" spans="1:10" ht="22.9" customHeight="1" x14ac:dyDescent="0.25">
      <c r="A1337" s="448" t="s">
        <v>189</v>
      </c>
      <c r="B1337" s="449"/>
      <c r="C1337" s="449"/>
      <c r="D1337" s="449"/>
      <c r="E1337" s="224" t="str">
        <f>+IF(A1337="","",VLOOKUP(A1337,[46]MATERIALES!$B$7:$D$225,2,FALSE))</f>
        <v>UN</v>
      </c>
      <c r="F1337" s="225">
        <f>+IF(A1337="","",VLOOKUP(A1337,[46]MATERIALES!$B$7:$E$225,3,FALSE))</f>
        <v>21900</v>
      </c>
      <c r="G1337" s="238">
        <v>1</v>
      </c>
      <c r="H1337" s="227"/>
      <c r="I1337" s="217">
        <f t="shared" si="132"/>
        <v>21900</v>
      </c>
      <c r="J1337" s="213"/>
    </row>
    <row r="1338" spans="1:10" ht="13.35" customHeight="1" x14ac:dyDescent="0.25">
      <c r="A1338" s="448" t="s">
        <v>190</v>
      </c>
      <c r="B1338" s="449"/>
      <c r="C1338" s="449"/>
      <c r="D1338" s="449"/>
      <c r="E1338" s="224" t="str">
        <f>+IF(A1338="","",VLOOKUP(A1338,[46]MATERIALES!$B$7:$D$225,2,FALSE))</f>
        <v>UN</v>
      </c>
      <c r="F1338" s="225">
        <f>+IF(A1338="","",VLOOKUP(A1338,[46]MATERIALES!$B$7:$E$225,3,FALSE))</f>
        <v>54900</v>
      </c>
      <c r="G1338" s="226">
        <v>1</v>
      </c>
      <c r="H1338" s="227"/>
      <c r="I1338" s="217">
        <f t="shared" si="132"/>
        <v>54900</v>
      </c>
      <c r="J1338" s="213"/>
    </row>
    <row r="1339" spans="1:10" x14ac:dyDescent="0.25">
      <c r="A1339" s="448" t="s">
        <v>166</v>
      </c>
      <c r="B1339" s="449"/>
      <c r="C1339" s="449"/>
      <c r="D1339" s="449"/>
      <c r="E1339" s="224" t="str">
        <f>+IF(A1339="","",VLOOKUP(A1339,[46]MATERIALES!$B$7:$D$225,2,FALSE))</f>
        <v>UN</v>
      </c>
      <c r="F1339" s="225">
        <f>+IF(A1339="","",VLOOKUP(A1339,[46]MATERIALES!$B$7:$E$225,3,FALSE))</f>
        <v>35900</v>
      </c>
      <c r="G1339" s="238">
        <v>0.33</v>
      </c>
      <c r="H1339" s="227">
        <v>0.05</v>
      </c>
      <c r="I1339" s="217">
        <f t="shared" si="132"/>
        <v>12439.35</v>
      </c>
      <c r="J1339" s="213"/>
    </row>
    <row r="1340" spans="1:10" x14ac:dyDescent="0.25">
      <c r="A1340" s="448" t="s">
        <v>167</v>
      </c>
      <c r="B1340" s="449"/>
      <c r="C1340" s="449"/>
      <c r="D1340" s="449"/>
      <c r="E1340" s="224" t="str">
        <f>+IF(A1340="","",VLOOKUP(A1340,[46]MATERIALES!$B$7:$D$225,2,FALSE))</f>
        <v>UN</v>
      </c>
      <c r="F1340" s="225">
        <f>+IF(A1340="","",VLOOKUP(A1340,[46]MATERIALES!$B$7:$E$225,3,FALSE))</f>
        <v>500</v>
      </c>
      <c r="G1340" s="226">
        <v>1</v>
      </c>
      <c r="H1340" s="227"/>
      <c r="I1340" s="217">
        <f t="shared" si="132"/>
        <v>500</v>
      </c>
      <c r="J1340" s="213"/>
    </row>
    <row r="1341" spans="1:10" x14ac:dyDescent="0.25">
      <c r="A1341" s="448" t="s">
        <v>168</v>
      </c>
      <c r="B1341" s="449"/>
      <c r="C1341" s="449"/>
      <c r="D1341" s="450"/>
      <c r="E1341" s="224" t="str">
        <f>+IF(A1341="","",VLOOKUP(A1341,[46]MATERIALES!$B$7:$D$225,2,FALSE))</f>
        <v>UN</v>
      </c>
      <c r="F1341" s="225">
        <f>+IF(A1341="","",VLOOKUP(A1341,[46]MATERIALES!$B$7:$E$225,3,FALSE))</f>
        <v>800</v>
      </c>
      <c r="G1341" s="226">
        <v>2</v>
      </c>
      <c r="H1341" s="227"/>
      <c r="I1341" s="217">
        <f t="shared" si="132"/>
        <v>1600</v>
      </c>
      <c r="J1341" s="213"/>
    </row>
    <row r="1342" spans="1:10" x14ac:dyDescent="0.25">
      <c r="A1342" s="448" t="s">
        <v>169</v>
      </c>
      <c r="B1342" s="449"/>
      <c r="C1342" s="449"/>
      <c r="D1342" s="449"/>
      <c r="E1342" s="224" t="str">
        <f>+IF(A1342="","",VLOOKUP(A1342,[46]MATERIALES!$B$7:$D$225,2,FALSE))</f>
        <v>UN</v>
      </c>
      <c r="F1342" s="225">
        <f>+IF(A1342="","",VLOOKUP(A1342,[46]MATERIALES!$B$7:$E$225,3,FALSE))</f>
        <v>1250</v>
      </c>
      <c r="G1342" s="226">
        <v>1</v>
      </c>
      <c r="H1342" s="227"/>
      <c r="I1342" s="217">
        <f t="shared" si="132"/>
        <v>1250</v>
      </c>
      <c r="J1342" s="213"/>
    </row>
    <row r="1343" spans="1:10" x14ac:dyDescent="0.25">
      <c r="A1343" s="448" t="s">
        <v>130</v>
      </c>
      <c r="B1343" s="449"/>
      <c r="C1343" s="449"/>
      <c r="D1343" s="450"/>
      <c r="E1343" s="224" t="str">
        <f>+IF(A1343="","",VLOOKUP(A1343,[46]MATERIALES!$B$7:$D$225,2,FALSE))</f>
        <v>UN</v>
      </c>
      <c r="F1343" s="225">
        <f>+IF(A1343="","",VLOOKUP(A1343,[46]MATERIALES!$B$7:$E$225,3,FALSE))</f>
        <v>85400</v>
      </c>
      <c r="G1343" s="226">
        <v>0.1</v>
      </c>
      <c r="H1343" s="227">
        <v>0.05</v>
      </c>
      <c r="I1343" s="217">
        <f t="shared" si="132"/>
        <v>8967</v>
      </c>
      <c r="J1343" s="213"/>
    </row>
    <row r="1344" spans="1:10" x14ac:dyDescent="0.25">
      <c r="A1344" s="448" t="s">
        <v>131</v>
      </c>
      <c r="B1344" s="449"/>
      <c r="C1344" s="449"/>
      <c r="D1344" s="449"/>
      <c r="E1344" s="224" t="str">
        <f>+IF(A1344="","",VLOOKUP(A1344,[46]MATERIALES!$B$7:$D$225,2,FALSE))</f>
        <v>un</v>
      </c>
      <c r="F1344" s="225">
        <f>+IF(A1344="","",VLOOKUP(A1344,[46]MATERIALES!$B$7:$E$225,3,FALSE))</f>
        <v>54900</v>
      </c>
      <c r="G1344" s="226">
        <v>0.1</v>
      </c>
      <c r="H1344" s="227">
        <v>0.05</v>
      </c>
      <c r="I1344" s="217">
        <f t="shared" si="132"/>
        <v>5764.5</v>
      </c>
      <c r="J1344" s="213"/>
    </row>
    <row r="1345" spans="1:10" x14ac:dyDescent="0.25">
      <c r="A1345" s="448" t="s">
        <v>132</v>
      </c>
      <c r="B1345" s="449"/>
      <c r="C1345" s="449"/>
      <c r="D1345" s="449"/>
      <c r="E1345" s="224" t="str">
        <f>+IF(A1345="","",VLOOKUP(A1345,[46]MATERIALES!$B$7:$D$225,2,FALSE))</f>
        <v>Libra</v>
      </c>
      <c r="F1345" s="225">
        <f>+IF(A1345="","",VLOOKUP(A1345,[46]MATERIALES!$B$7:$E$225,3,FALSE))</f>
        <v>7800</v>
      </c>
      <c r="G1345" s="226">
        <v>0.1</v>
      </c>
      <c r="H1345" s="227">
        <v>0.05</v>
      </c>
      <c r="I1345" s="217">
        <f t="shared" si="132"/>
        <v>819</v>
      </c>
      <c r="J1345" s="213"/>
    </row>
    <row r="1346" spans="1:10" x14ac:dyDescent="0.25">
      <c r="A1346" s="444"/>
      <c r="B1346" s="445"/>
      <c r="C1346" s="445"/>
      <c r="D1346" s="445"/>
      <c r="E1346" s="213"/>
      <c r="F1346" s="214"/>
      <c r="G1346" s="218"/>
      <c r="H1346" s="227"/>
      <c r="I1346" s="217">
        <f>IFERROR(F1346*G1346*(1+H1346),"")</f>
        <v>0</v>
      </c>
      <c r="J1346" s="213"/>
    </row>
    <row r="1347" spans="1:10" x14ac:dyDescent="0.25">
      <c r="A1347" s="437" t="s">
        <v>100</v>
      </c>
      <c r="B1347" s="438"/>
      <c r="C1347" s="438"/>
      <c r="D1347" s="438"/>
      <c r="E1347" s="438"/>
      <c r="F1347" s="438"/>
      <c r="G1347" s="438"/>
      <c r="H1347" s="438"/>
      <c r="I1347" s="439"/>
      <c r="J1347" s="217">
        <f>SUM(I1335:I1346)</f>
        <v>1185039.8500000001</v>
      </c>
    </row>
    <row r="1348" spans="1:10" x14ac:dyDescent="0.25">
      <c r="A1348" s="442" t="s">
        <v>106</v>
      </c>
      <c r="B1348" s="442"/>
      <c r="C1348" s="442"/>
      <c r="D1348" s="442"/>
      <c r="E1348" s="442"/>
      <c r="F1348" s="442"/>
      <c r="G1348" s="442"/>
      <c r="H1348" s="442"/>
      <c r="I1348" s="442"/>
      <c r="J1348" s="442"/>
    </row>
    <row r="1349" spans="1:10" ht="22.5" x14ac:dyDescent="0.25">
      <c r="A1349" s="443" t="s">
        <v>107</v>
      </c>
      <c r="B1349" s="443"/>
      <c r="C1349" s="443"/>
      <c r="D1349" s="443"/>
      <c r="E1349" s="223" t="s">
        <v>108</v>
      </c>
      <c r="F1349" s="230" t="s">
        <v>109</v>
      </c>
      <c r="G1349" s="223" t="s">
        <v>110</v>
      </c>
      <c r="H1349" s="223" t="s">
        <v>111</v>
      </c>
      <c r="I1349" s="223" t="s">
        <v>92</v>
      </c>
      <c r="J1349" s="213"/>
    </row>
    <row r="1350" spans="1:10" x14ac:dyDescent="0.25">
      <c r="A1350" s="447" t="s">
        <v>160</v>
      </c>
      <c r="B1350" s="447"/>
      <c r="C1350" s="447"/>
      <c r="D1350" s="447"/>
      <c r="E1350" s="216" t="e">
        <f>+IF(A1350="","",VLOOKUP(A1350,[46]MATERIALES!$B$7:$E$1222,2,FALSE))</f>
        <v>#N/A</v>
      </c>
      <c r="F1350" s="224">
        <f>2*1.5*2</f>
        <v>6</v>
      </c>
      <c r="G1350" s="231" t="e">
        <f>+IF(A1350="","",VLOOKUP(A1350,[46]MATERIALES!$B$7:$E$1222,4,FALSE))</f>
        <v>#N/A</v>
      </c>
      <c r="H1350" s="216" t="e">
        <f>+IF(A1350="","",VLOOKUP(A1350,[46]MATERIALES!$B$7:$E$1222,3,FALSE))</f>
        <v>#N/A</v>
      </c>
      <c r="I1350" s="217" t="str">
        <f>IFERROR(G1350*H1350*F1350,"")</f>
        <v/>
      </c>
      <c r="J1350" s="213"/>
    </row>
    <row r="1351" spans="1:10" x14ac:dyDescent="0.25">
      <c r="A1351" s="447"/>
      <c r="B1351" s="447"/>
      <c r="C1351" s="447"/>
      <c r="D1351" s="447"/>
      <c r="E1351" s="216" t="str">
        <f>+IF(A1351="","",VLOOKUP(A1351,[46]MATERIALES!$B$7:$E$1222,2,FALSE))</f>
        <v/>
      </c>
      <c r="F1351" s="224"/>
      <c r="G1351" s="231" t="str">
        <f>+IF(A1351="","",VLOOKUP(A1351,[46]MATERIALES!$B$7:$E$1222,4,FALSE))</f>
        <v/>
      </c>
      <c r="H1351" s="216" t="str">
        <f>+IF(A1351="","",VLOOKUP(A1351,[46]MATERIALES!$B$7:$E$1222,3,FALSE))</f>
        <v/>
      </c>
      <c r="I1351" s="217" t="str">
        <f>IFERROR(G1351*H1351*F1351,"")</f>
        <v/>
      </c>
      <c r="J1351" s="213"/>
    </row>
    <row r="1352" spans="1:10" x14ac:dyDescent="0.25">
      <c r="A1352" s="447"/>
      <c r="B1352" s="447"/>
      <c r="C1352" s="447"/>
      <c r="D1352" s="447"/>
      <c r="E1352" s="213"/>
      <c r="F1352" s="214"/>
      <c r="G1352" s="233"/>
      <c r="H1352" s="216"/>
      <c r="I1352" s="219"/>
      <c r="J1352" s="213"/>
    </row>
    <row r="1353" spans="1:10" x14ac:dyDescent="0.25">
      <c r="A1353" s="447"/>
      <c r="B1353" s="447"/>
      <c r="C1353" s="447"/>
      <c r="D1353" s="447"/>
      <c r="E1353" s="213"/>
      <c r="F1353" s="213"/>
      <c r="G1353" s="213"/>
      <c r="H1353" s="211"/>
      <c r="I1353" s="213"/>
      <c r="J1353" s="213"/>
    </row>
    <row r="1354" spans="1:10" x14ac:dyDescent="0.25">
      <c r="A1354" s="437" t="s">
        <v>100</v>
      </c>
      <c r="B1354" s="438"/>
      <c r="C1354" s="438"/>
      <c r="D1354" s="438"/>
      <c r="E1354" s="438"/>
      <c r="F1354" s="438"/>
      <c r="G1354" s="438"/>
      <c r="H1354" s="438"/>
      <c r="I1354" s="439"/>
      <c r="J1354" s="217">
        <f>SUM(I1350:I1353)</f>
        <v>0</v>
      </c>
    </row>
    <row r="1355" spans="1:10" x14ac:dyDescent="0.25">
      <c r="A1355" s="442" t="s">
        <v>112</v>
      </c>
      <c r="B1355" s="442"/>
      <c r="C1355" s="442"/>
      <c r="D1355" s="442"/>
      <c r="E1355" s="442"/>
      <c r="F1355" s="442"/>
      <c r="G1355" s="442"/>
      <c r="H1355" s="442"/>
      <c r="I1355" s="442"/>
      <c r="J1355" s="442"/>
    </row>
    <row r="1356" spans="1:10" x14ac:dyDescent="0.25">
      <c r="A1356" s="443" t="s">
        <v>113</v>
      </c>
      <c r="B1356" s="443"/>
      <c r="C1356" s="443"/>
      <c r="D1356" s="443"/>
      <c r="E1356" s="223" t="s">
        <v>114</v>
      </c>
      <c r="F1356" s="223" t="s">
        <v>115</v>
      </c>
      <c r="G1356" s="234" t="s">
        <v>116</v>
      </c>
      <c r="H1356" s="223" t="s">
        <v>91</v>
      </c>
      <c r="I1356" s="223" t="s">
        <v>92</v>
      </c>
      <c r="J1356" s="213"/>
    </row>
    <row r="1357" spans="1:10" x14ac:dyDescent="0.25">
      <c r="A1357" s="444" t="s">
        <v>99</v>
      </c>
      <c r="B1357" s="445"/>
      <c r="C1357" s="446"/>
      <c r="D1357" s="211">
        <v>1</v>
      </c>
      <c r="E1357" s="235">
        <f>+IF(D1357="","",VLOOKUP(A1357,$L$4:$O$10,3,FALSE))</f>
        <v>142350</v>
      </c>
      <c r="F1357" s="236">
        <f>+IF(D1357="","",(VLOOKUP(A1357,$L$4:$O$10,4,FALSE))+1)</f>
        <v>1.5821008628015805</v>
      </c>
      <c r="G1357" s="219">
        <f>+IFERROR(F1357*E1357*D1357,"")</f>
        <v>225212.05781980499</v>
      </c>
      <c r="H1357" s="216">
        <v>1</v>
      </c>
      <c r="I1357" s="217">
        <f>IFERROR(G1357/H1357,"")</f>
        <v>225212.05781980499</v>
      </c>
      <c r="J1357" s="213"/>
    </row>
    <row r="1358" spans="1:10" ht="13.35" customHeight="1" x14ac:dyDescent="0.25">
      <c r="A1358" s="444" t="s">
        <v>93</v>
      </c>
      <c r="B1358" s="445"/>
      <c r="C1358" s="446"/>
      <c r="D1358" s="211">
        <v>1</v>
      </c>
      <c r="E1358" s="235">
        <f>+IF(D1358="","",VLOOKUP(A1358,$L$4:$O$10,3,FALSE))</f>
        <v>77842</v>
      </c>
      <c r="F1358" s="236">
        <f>+IF(D1358="","",(VLOOKUP(A1358,$L$4:$O$10,4,FALSE))+1)</f>
        <v>1.6752877632282406</v>
      </c>
      <c r="G1358" s="219">
        <f>+IFERROR(F1358*E1358*D1358,"")</f>
        <v>130407.75006521271</v>
      </c>
      <c r="H1358" s="216">
        <f>+H1357</f>
        <v>1</v>
      </c>
      <c r="I1358" s="217">
        <f t="shared" ref="I1358:I1359" si="133">IFERROR(G1358/H1358,"")</f>
        <v>130407.75006521271</v>
      </c>
      <c r="J1358" s="213"/>
    </row>
    <row r="1359" spans="1:10" ht="13.35" customHeight="1" x14ac:dyDescent="0.25">
      <c r="A1359" s="444" t="s">
        <v>86</v>
      </c>
      <c r="B1359" s="445"/>
      <c r="C1359" s="446"/>
      <c r="D1359" s="211">
        <v>1</v>
      </c>
      <c r="E1359" s="235">
        <f>+IF(D1359="","",VLOOKUP(A1359,$L$4:$O$10,3,FALSE))</f>
        <v>54117</v>
      </c>
      <c r="F1359" s="236">
        <f>+IF(D1359="","",(VLOOKUP(A1359,$L$4:$O$10,4,FALSE))+1)</f>
        <v>1.7246636834087141</v>
      </c>
      <c r="G1359" s="219">
        <f>+IFERROR(F1359*E1359*D1359,"")</f>
        <v>93333.624555029382</v>
      </c>
      <c r="H1359" s="216">
        <f>+IF(D1359="","",IFERROR(H1358,""))</f>
        <v>1</v>
      </c>
      <c r="I1359" s="217">
        <f t="shared" si="133"/>
        <v>93333.624555029382</v>
      </c>
      <c r="J1359" s="213"/>
    </row>
    <row r="1360" spans="1:10" x14ac:dyDescent="0.25">
      <c r="A1360" s="444"/>
      <c r="B1360" s="445"/>
      <c r="C1360" s="446"/>
      <c r="D1360" s="213"/>
      <c r="E1360" s="213"/>
      <c r="F1360" s="213"/>
      <c r="G1360" s="213"/>
      <c r="H1360" s="211"/>
      <c r="I1360" s="217"/>
      <c r="J1360" s="213"/>
    </row>
    <row r="1361" spans="1:10" ht="14.45" customHeight="1" x14ac:dyDescent="0.25">
      <c r="A1361" s="437" t="s">
        <v>100</v>
      </c>
      <c r="B1361" s="438"/>
      <c r="C1361" s="438"/>
      <c r="D1361" s="438"/>
      <c r="E1361" s="438"/>
      <c r="F1361" s="438"/>
      <c r="G1361" s="438"/>
      <c r="H1361" s="438"/>
      <c r="I1361" s="439"/>
      <c r="J1361" s="217">
        <f>SUM(I1357:I1360)</f>
        <v>448953.43244004709</v>
      </c>
    </row>
    <row r="1362" spans="1:10" x14ac:dyDescent="0.25">
      <c r="A1362" s="462" t="str">
        <f>+[48]PRESUPUESTO!$B$1</f>
        <v>CONSTRUCCION DE 14 METROS BOX CULVERT EN EL SECTOR BARRIO NUEVO DE SANTA RITA, CABECERA MUNICIPAL DE RIO IRÓ - DEPARTAMENTO DEL CHOCÓ</v>
      </c>
      <c r="B1362" s="462"/>
      <c r="C1362" s="462"/>
      <c r="D1362" s="462"/>
      <c r="E1362" s="462"/>
      <c r="F1362" s="462"/>
      <c r="G1362" s="462"/>
      <c r="H1362" s="462"/>
      <c r="I1362" s="462"/>
      <c r="J1362" s="462"/>
    </row>
    <row r="1363" spans="1:10" ht="29.45" customHeight="1" x14ac:dyDescent="0.25">
      <c r="A1363" s="463"/>
      <c r="B1363" s="463"/>
      <c r="C1363" s="463"/>
      <c r="D1363" s="463"/>
      <c r="E1363" s="463"/>
      <c r="F1363" s="463"/>
      <c r="G1363" s="463"/>
      <c r="H1363" s="463"/>
      <c r="I1363" s="462"/>
      <c r="J1363" s="462"/>
    </row>
    <row r="1364" spans="1:10" ht="12.2" customHeight="1" x14ac:dyDescent="0.25">
      <c r="A1364" s="256" t="s">
        <v>78</v>
      </c>
      <c r="B1364" s="455" t="s">
        <v>79</v>
      </c>
      <c r="C1364" s="455"/>
      <c r="D1364" s="455"/>
      <c r="E1364" s="455"/>
      <c r="F1364" s="455"/>
      <c r="G1364" s="455"/>
      <c r="H1364" s="455"/>
      <c r="I1364" s="257" t="s">
        <v>80</v>
      </c>
      <c r="J1364" s="258" t="s">
        <v>81</v>
      </c>
    </row>
    <row r="1365" spans="1:10" ht="21.2" customHeight="1" x14ac:dyDescent="0.25">
      <c r="A1365" s="203">
        <v>8.1199999999999992</v>
      </c>
      <c r="B1365" s="456" t="e">
        <f>+VLOOKUP(A1365,[48]PRESUPUESTO!$B$2:$D$19,2,FALSE)</f>
        <v>#N/A</v>
      </c>
      <c r="C1365" s="457"/>
      <c r="D1365" s="457"/>
      <c r="E1365" s="457"/>
      <c r="F1365" s="457"/>
      <c r="G1365" s="457"/>
      <c r="H1365" s="458"/>
      <c r="I1365" s="204" t="e">
        <f>+VLOOKUP(A1365,[48]PRESUPUESTO!$B$2:$D$19,3,FALSE)</f>
        <v>#N/A</v>
      </c>
      <c r="J1365" s="237">
        <f>+ROUND(SUM(J1373:J1400),0)</f>
        <v>1349489</v>
      </c>
    </row>
    <row r="1366" spans="1:10" x14ac:dyDescent="0.25">
      <c r="A1366" s="459" t="s">
        <v>87</v>
      </c>
      <c r="B1366" s="459"/>
      <c r="C1366" s="459"/>
      <c r="D1366" s="459"/>
      <c r="E1366" s="459"/>
      <c r="F1366" s="459"/>
      <c r="G1366" s="459"/>
      <c r="H1366" s="459"/>
      <c r="I1366" s="442"/>
      <c r="J1366" s="442"/>
    </row>
    <row r="1367" spans="1:10" x14ac:dyDescent="0.25">
      <c r="A1367" s="460" t="s">
        <v>2</v>
      </c>
      <c r="B1367" s="460"/>
      <c r="C1367" s="460"/>
      <c r="D1367" s="460"/>
      <c r="E1367" s="460"/>
      <c r="F1367" s="223" t="s">
        <v>89</v>
      </c>
      <c r="G1367" s="234" t="s">
        <v>90</v>
      </c>
      <c r="H1367" s="223" t="s">
        <v>91</v>
      </c>
      <c r="I1367" s="223" t="s">
        <v>92</v>
      </c>
      <c r="J1367" s="213"/>
    </row>
    <row r="1368" spans="1:10" x14ac:dyDescent="0.25">
      <c r="A1368" s="451" t="s">
        <v>95</v>
      </c>
      <c r="B1368" s="451"/>
      <c r="C1368" s="451"/>
      <c r="D1368" s="451"/>
      <c r="E1368" s="451"/>
      <c r="F1368" s="214"/>
      <c r="G1368" s="215">
        <v>0.05</v>
      </c>
      <c r="H1368" s="216"/>
      <c r="I1368" s="217">
        <f>+J1400*G1368</f>
        <v>7482.5572073341191</v>
      </c>
      <c r="J1368" s="213"/>
    </row>
    <row r="1369" spans="1:10" x14ac:dyDescent="0.25">
      <c r="A1369" s="461" t="s">
        <v>161</v>
      </c>
      <c r="B1369" s="461"/>
      <c r="C1369" s="461"/>
      <c r="D1369" s="461"/>
      <c r="E1369" s="461"/>
      <c r="F1369" s="224" t="str">
        <f>+IF(A1369="","",VLOOKUP(A1369,[46]MATERIALES!$B$7:$D$1222,2,FALSE))</f>
        <v>DIA</v>
      </c>
      <c r="G1369" s="225">
        <f>+IF(A1369="","",VLOOKUP(A1369,[46]MATERIALES!$B$7:$E$1222,3,FALSE))</f>
        <v>20000</v>
      </c>
      <c r="H1369" s="238">
        <f>IF(A1369="","",1/H1396)</f>
        <v>0.33333333333333331</v>
      </c>
      <c r="I1369" s="217">
        <f t="shared" ref="I1369:I1372" si="134">IFERROR(G1369*H1369,"")</f>
        <v>6666.6666666666661</v>
      </c>
      <c r="J1369" s="213"/>
    </row>
    <row r="1370" spans="1:10" x14ac:dyDescent="0.25">
      <c r="A1370" s="451"/>
      <c r="B1370" s="451"/>
      <c r="C1370" s="451"/>
      <c r="D1370" s="451"/>
      <c r="E1370" s="451"/>
      <c r="F1370" s="224" t="str">
        <f>+IF(A1370="","",VLOOKUP(A1370,[46]MATERIALES!$B$7:$D$1222,2,FALSE))</f>
        <v/>
      </c>
      <c r="G1370" s="225" t="str">
        <f>+IF(A1370="","",VLOOKUP(A1370,[46]MATERIALES!$B$7:$E$1222,3,FALSE))</f>
        <v/>
      </c>
      <c r="H1370" s="238" t="str">
        <f>IF(A1370="","",2/H1396)</f>
        <v/>
      </c>
      <c r="I1370" s="217" t="str">
        <f t="shared" si="134"/>
        <v/>
      </c>
      <c r="J1370" s="213"/>
    </row>
    <row r="1371" spans="1:10" x14ac:dyDescent="0.25">
      <c r="A1371" s="451"/>
      <c r="B1371" s="451"/>
      <c r="C1371" s="451"/>
      <c r="D1371" s="451"/>
      <c r="E1371" s="451"/>
      <c r="F1371" s="224" t="str">
        <f>+IF(A1371="","",VLOOKUP(A1371,[46]MATERIALES!$B$7:$D$1222,2,FALSE))</f>
        <v/>
      </c>
      <c r="G1371" s="225" t="str">
        <f>+IF(A1371="","",VLOOKUP(A1371,[46]MATERIALES!$B$7:$E$1222,3,FALSE))</f>
        <v/>
      </c>
      <c r="H1371" s="238" t="str">
        <f>IF(A1371="","",1/H1397)</f>
        <v/>
      </c>
      <c r="I1371" s="217" t="str">
        <f t="shared" si="134"/>
        <v/>
      </c>
      <c r="J1371" s="213"/>
    </row>
    <row r="1372" spans="1:10" x14ac:dyDescent="0.25">
      <c r="A1372" s="451"/>
      <c r="B1372" s="451"/>
      <c r="C1372" s="451"/>
      <c r="D1372" s="451"/>
      <c r="E1372" s="451"/>
      <c r="F1372" s="224" t="str">
        <f>+IF(A1372="","",VLOOKUP(A1372,[46]MATERIALES!$B$7:$D$1222,2,FALSE))</f>
        <v/>
      </c>
      <c r="G1372" s="225" t="str">
        <f>+IF(A1372="","",VLOOKUP(A1372,[46]MATERIALES!$B$7:$E$1222,3,FALSE))</f>
        <v/>
      </c>
      <c r="H1372" s="238"/>
      <c r="I1372" s="217" t="str">
        <f t="shared" si="134"/>
        <v/>
      </c>
      <c r="J1372" s="219"/>
    </row>
    <row r="1373" spans="1:10" x14ac:dyDescent="0.25">
      <c r="A1373" s="437" t="s">
        <v>100</v>
      </c>
      <c r="B1373" s="438"/>
      <c r="C1373" s="438"/>
      <c r="D1373" s="438"/>
      <c r="E1373" s="438"/>
      <c r="F1373" s="438"/>
      <c r="G1373" s="438"/>
      <c r="H1373" s="438"/>
      <c r="I1373" s="439"/>
      <c r="J1373" s="217">
        <f>+SUM(I1368:I1372)</f>
        <v>14149.223874000785</v>
      </c>
    </row>
    <row r="1374" spans="1:10" x14ac:dyDescent="0.25">
      <c r="A1374" s="442" t="s">
        <v>101</v>
      </c>
      <c r="B1374" s="442"/>
      <c r="C1374" s="442"/>
      <c r="D1374" s="442"/>
      <c r="E1374" s="442"/>
      <c r="F1374" s="442"/>
      <c r="G1374" s="442"/>
      <c r="H1374" s="442"/>
      <c r="I1374" s="442"/>
      <c r="J1374" s="442"/>
    </row>
    <row r="1375" spans="1:10" x14ac:dyDescent="0.25">
      <c r="A1375" s="452" t="s">
        <v>2</v>
      </c>
      <c r="B1375" s="453"/>
      <c r="C1375" s="453"/>
      <c r="D1375" s="454"/>
      <c r="E1375" s="223" t="s">
        <v>3</v>
      </c>
      <c r="F1375" s="223" t="s">
        <v>102</v>
      </c>
      <c r="G1375" s="223" t="s">
        <v>4</v>
      </c>
      <c r="H1375" s="223" t="s">
        <v>103</v>
      </c>
      <c r="I1375" s="223" t="s">
        <v>92</v>
      </c>
      <c r="J1375" s="213"/>
    </row>
    <row r="1376" spans="1:10" x14ac:dyDescent="0.25">
      <c r="A1376" s="448" t="s">
        <v>191</v>
      </c>
      <c r="B1376" s="449"/>
      <c r="C1376" s="449"/>
      <c r="D1376" s="449"/>
      <c r="E1376" s="224" t="str">
        <f>+IF(A1376="","",VLOOKUP(A1376,[46]MATERIALES!$B$7:$D$225,2,FALSE))</f>
        <v>UN</v>
      </c>
      <c r="F1376" s="225">
        <f>+IF(A1376="","",VLOOKUP(A1376,[46]MATERIALES!$B$7:$E$225,3,FALSE))</f>
        <v>1079000</v>
      </c>
      <c r="G1376" s="238">
        <v>1</v>
      </c>
      <c r="H1376" s="227"/>
      <c r="I1376" s="217">
        <f>IFERROR(F1376*G1376*(1+H1376),"")</f>
        <v>1079000</v>
      </c>
      <c r="J1376" s="213"/>
    </row>
    <row r="1377" spans="1:10" ht="20.45" customHeight="1" x14ac:dyDescent="0.25">
      <c r="A1377" s="448" t="s">
        <v>189</v>
      </c>
      <c r="B1377" s="449"/>
      <c r="C1377" s="449"/>
      <c r="D1377" s="449"/>
      <c r="E1377" s="224" t="str">
        <f>+IF(A1377="","",VLOOKUP(A1377,[46]MATERIALES!$B$7:$D$225,2,FALSE))</f>
        <v>UN</v>
      </c>
      <c r="F1377" s="225">
        <f>+IF(A1377="","",VLOOKUP(A1377,[46]MATERIALES!$B$7:$E$225,3,FALSE))</f>
        <v>21900</v>
      </c>
      <c r="G1377" s="238">
        <v>1</v>
      </c>
      <c r="H1377" s="227"/>
      <c r="I1377" s="217">
        <f t="shared" ref="I1377:I1384" si="135">IFERROR(F1377*G1377*(1+H1377),"")</f>
        <v>21900</v>
      </c>
      <c r="J1377" s="213"/>
    </row>
    <row r="1378" spans="1:10" ht="22.9" customHeight="1" x14ac:dyDescent="0.25">
      <c r="A1378" s="448" t="s">
        <v>189</v>
      </c>
      <c r="B1378" s="449"/>
      <c r="C1378" s="449"/>
      <c r="D1378" s="449"/>
      <c r="E1378" s="224" t="str">
        <f>+IF(A1378="","",VLOOKUP(A1378,[46]MATERIALES!$B$7:$D$225,2,FALSE))</f>
        <v>UN</v>
      </c>
      <c r="F1378" s="225">
        <f>+IF(A1378="","",VLOOKUP(A1378,[46]MATERIALES!$B$7:$E$225,3,FALSE))</f>
        <v>21900</v>
      </c>
      <c r="G1378" s="238">
        <v>1</v>
      </c>
      <c r="H1378" s="227"/>
      <c r="I1378" s="217">
        <f t="shared" si="135"/>
        <v>21900</v>
      </c>
      <c r="J1378" s="213"/>
    </row>
    <row r="1379" spans="1:10" ht="13.35" customHeight="1" x14ac:dyDescent="0.25">
      <c r="A1379" s="448" t="s">
        <v>192</v>
      </c>
      <c r="B1379" s="449"/>
      <c r="C1379" s="449"/>
      <c r="D1379" s="449"/>
      <c r="E1379" s="224" t="str">
        <f>+IF(A1379="","",VLOOKUP(A1379,[46]MATERIALES!$B$7:$D$225,2,FALSE))</f>
        <v>UN</v>
      </c>
      <c r="F1379" s="225">
        <f>+IF(A1379="","",VLOOKUP(A1379,[46]MATERIALES!$B$7:$E$225,3,FALSE))</f>
        <v>36900</v>
      </c>
      <c r="G1379" s="226">
        <v>1</v>
      </c>
      <c r="H1379" s="227"/>
      <c r="I1379" s="217">
        <f t="shared" si="135"/>
        <v>36900</v>
      </c>
      <c r="J1379" s="213"/>
    </row>
    <row r="1380" spans="1:10" x14ac:dyDescent="0.25">
      <c r="A1380" s="448" t="s">
        <v>173</v>
      </c>
      <c r="B1380" s="449"/>
      <c r="C1380" s="449"/>
      <c r="D1380" s="449"/>
      <c r="E1380" s="224" t="str">
        <f>+IF(A1380="","",VLOOKUP(A1380,[46]MATERIALES!$B$7:$D$225,2,FALSE))</f>
        <v>UN</v>
      </c>
      <c r="F1380" s="225">
        <f>+IF(A1380="","",VLOOKUP(A1380,[46]MATERIALES!$B$7:$E$225,3,FALSE))</f>
        <v>2200</v>
      </c>
      <c r="G1380" s="238">
        <v>4</v>
      </c>
      <c r="H1380" s="227"/>
      <c r="I1380" s="217">
        <f t="shared" si="135"/>
        <v>8800</v>
      </c>
      <c r="J1380" s="213"/>
    </row>
    <row r="1381" spans="1:10" x14ac:dyDescent="0.25">
      <c r="A1381" s="448" t="s">
        <v>193</v>
      </c>
      <c r="B1381" s="449"/>
      <c r="C1381" s="449"/>
      <c r="D1381" s="449"/>
      <c r="E1381" s="224" t="e">
        <f>+IF(A1381="","",VLOOKUP(A1381,[46]MATERIALES!$B$7:$D$225,2,FALSE))</f>
        <v>#N/A</v>
      </c>
      <c r="F1381" s="225" t="e">
        <f>+IF(A1381="","",VLOOKUP(A1381,[46]MATERIALES!$B$7:$E$225,3,FALSE))</f>
        <v>#N/A</v>
      </c>
      <c r="G1381" s="226">
        <v>0.16666666666666666</v>
      </c>
      <c r="H1381" s="227">
        <v>0.05</v>
      </c>
      <c r="I1381" s="217" t="str">
        <f t="shared" si="135"/>
        <v/>
      </c>
      <c r="J1381" s="213"/>
    </row>
    <row r="1382" spans="1:10" x14ac:dyDescent="0.25">
      <c r="A1382" s="448" t="s">
        <v>130</v>
      </c>
      <c r="B1382" s="449"/>
      <c r="C1382" s="449"/>
      <c r="D1382" s="450"/>
      <c r="E1382" s="224" t="str">
        <f>+IF(A1382="","",VLOOKUP(A1382,[46]MATERIALES!$B$7:$D$225,2,FALSE))</f>
        <v>UN</v>
      </c>
      <c r="F1382" s="225">
        <f>+IF(A1382="","",VLOOKUP(A1382,[46]MATERIALES!$B$7:$E$225,3,FALSE))</f>
        <v>85400</v>
      </c>
      <c r="G1382" s="226">
        <v>0.1</v>
      </c>
      <c r="H1382" s="227">
        <v>0.05</v>
      </c>
      <c r="I1382" s="217">
        <f t="shared" si="135"/>
        <v>8967</v>
      </c>
      <c r="J1382" s="213"/>
    </row>
    <row r="1383" spans="1:10" x14ac:dyDescent="0.25">
      <c r="A1383" s="448" t="s">
        <v>131</v>
      </c>
      <c r="B1383" s="449"/>
      <c r="C1383" s="449"/>
      <c r="D1383" s="449"/>
      <c r="E1383" s="224" t="str">
        <f>+IF(A1383="","",VLOOKUP(A1383,[46]MATERIALES!$B$7:$D$225,2,FALSE))</f>
        <v>un</v>
      </c>
      <c r="F1383" s="225">
        <f>+IF(A1383="","",VLOOKUP(A1383,[46]MATERIALES!$B$7:$E$225,3,FALSE))</f>
        <v>54900</v>
      </c>
      <c r="G1383" s="226">
        <v>0.1</v>
      </c>
      <c r="H1383" s="227">
        <v>0.05</v>
      </c>
      <c r="I1383" s="217">
        <f t="shared" si="135"/>
        <v>5764.5</v>
      </c>
      <c r="J1383" s="213"/>
    </row>
    <row r="1384" spans="1:10" x14ac:dyDescent="0.25">
      <c r="A1384" s="448" t="s">
        <v>132</v>
      </c>
      <c r="B1384" s="449"/>
      <c r="C1384" s="449"/>
      <c r="D1384" s="449"/>
      <c r="E1384" s="224" t="str">
        <f>+IF(A1384="","",VLOOKUP(A1384,[46]MATERIALES!$B$7:$D$225,2,FALSE))</f>
        <v>Libra</v>
      </c>
      <c r="F1384" s="225">
        <f>+IF(A1384="","",VLOOKUP(A1384,[46]MATERIALES!$B$7:$E$225,3,FALSE))</f>
        <v>7800</v>
      </c>
      <c r="G1384" s="226">
        <v>0.3</v>
      </c>
      <c r="H1384" s="227">
        <v>0.05</v>
      </c>
      <c r="I1384" s="217">
        <f t="shared" si="135"/>
        <v>2457</v>
      </c>
      <c r="J1384" s="213"/>
    </row>
    <row r="1385" spans="1:10" x14ac:dyDescent="0.25">
      <c r="A1385" s="444"/>
      <c r="B1385" s="445"/>
      <c r="C1385" s="445"/>
      <c r="D1385" s="445"/>
      <c r="E1385" s="213"/>
      <c r="F1385" s="214"/>
      <c r="G1385" s="218"/>
      <c r="H1385" s="227"/>
      <c r="I1385" s="217">
        <f>IFERROR(F1385*G1385*(1+H1385),"")</f>
        <v>0</v>
      </c>
      <c r="J1385" s="213"/>
    </row>
    <row r="1386" spans="1:10" x14ac:dyDescent="0.25">
      <c r="A1386" s="437" t="s">
        <v>100</v>
      </c>
      <c r="B1386" s="438"/>
      <c r="C1386" s="438"/>
      <c r="D1386" s="438"/>
      <c r="E1386" s="438"/>
      <c r="F1386" s="438"/>
      <c r="G1386" s="438"/>
      <c r="H1386" s="438"/>
      <c r="I1386" s="439"/>
      <c r="J1386" s="217">
        <f>SUM(I1376:I1385)</f>
        <v>1185688.5</v>
      </c>
    </row>
    <row r="1387" spans="1:10" x14ac:dyDescent="0.25">
      <c r="A1387" s="442" t="s">
        <v>106</v>
      </c>
      <c r="B1387" s="442"/>
      <c r="C1387" s="442"/>
      <c r="D1387" s="442"/>
      <c r="E1387" s="442"/>
      <c r="F1387" s="442"/>
      <c r="G1387" s="442"/>
      <c r="H1387" s="442"/>
      <c r="I1387" s="442"/>
      <c r="J1387" s="442"/>
    </row>
    <row r="1388" spans="1:10" ht="22.5" x14ac:dyDescent="0.25">
      <c r="A1388" s="443" t="s">
        <v>107</v>
      </c>
      <c r="B1388" s="443"/>
      <c r="C1388" s="443"/>
      <c r="D1388" s="443"/>
      <c r="E1388" s="223" t="s">
        <v>108</v>
      </c>
      <c r="F1388" s="230" t="s">
        <v>109</v>
      </c>
      <c r="G1388" s="223" t="s">
        <v>110</v>
      </c>
      <c r="H1388" s="223" t="s">
        <v>111</v>
      </c>
      <c r="I1388" s="223" t="s">
        <v>92</v>
      </c>
      <c r="J1388" s="213"/>
    </row>
    <row r="1389" spans="1:10" x14ac:dyDescent="0.25">
      <c r="A1389" s="447" t="s">
        <v>160</v>
      </c>
      <c r="B1389" s="447"/>
      <c r="C1389" s="447"/>
      <c r="D1389" s="447"/>
      <c r="E1389" s="216" t="e">
        <f>+IF(A1389="","",VLOOKUP(A1389,[46]MATERIALES!$B$7:$E$1222,2,FALSE))</f>
        <v>#N/A</v>
      </c>
      <c r="F1389" s="224">
        <f>0.5*0.5*0.5</f>
        <v>0.125</v>
      </c>
      <c r="G1389" s="231" t="e">
        <f>+IF(A1389="","",VLOOKUP(A1389,[46]MATERIALES!$B$7:$E$1222,4,FALSE))</f>
        <v>#N/A</v>
      </c>
      <c r="H1389" s="216" t="e">
        <f>+IF(A1389="","",VLOOKUP(A1389,[46]MATERIALES!$B$7:$E$1222,3,FALSE))</f>
        <v>#N/A</v>
      </c>
      <c r="I1389" s="217" t="str">
        <f>IFERROR(G1389*H1389*F1389,"")</f>
        <v/>
      </c>
      <c r="J1389" s="213"/>
    </row>
    <row r="1390" spans="1:10" x14ac:dyDescent="0.25">
      <c r="A1390" s="447"/>
      <c r="B1390" s="447"/>
      <c r="C1390" s="447"/>
      <c r="D1390" s="447"/>
      <c r="E1390" s="216" t="str">
        <f>+IF(A1390="","",VLOOKUP(A1390,[46]MATERIALES!$B$7:$E$1222,2,FALSE))</f>
        <v/>
      </c>
      <c r="F1390" s="224"/>
      <c r="G1390" s="231" t="str">
        <f>+IF(A1390="","",VLOOKUP(A1390,[46]MATERIALES!$B$7:$E$1222,4,FALSE))</f>
        <v/>
      </c>
      <c r="H1390" s="216" t="str">
        <f>+IF(A1390="","",VLOOKUP(A1390,[46]MATERIALES!$B$7:$E$1222,3,FALSE))</f>
        <v/>
      </c>
      <c r="I1390" s="217" t="str">
        <f>IFERROR(G1390*H1390*F1390,"")</f>
        <v/>
      </c>
      <c r="J1390" s="213"/>
    </row>
    <row r="1391" spans="1:10" x14ac:dyDescent="0.25">
      <c r="A1391" s="447"/>
      <c r="B1391" s="447"/>
      <c r="C1391" s="447"/>
      <c r="D1391" s="447"/>
      <c r="E1391" s="213"/>
      <c r="F1391" s="214"/>
      <c r="G1391" s="233"/>
      <c r="H1391" s="216"/>
      <c r="I1391" s="219"/>
      <c r="J1391" s="213"/>
    </row>
    <row r="1392" spans="1:10" x14ac:dyDescent="0.25">
      <c r="A1392" s="447"/>
      <c r="B1392" s="447"/>
      <c r="C1392" s="447"/>
      <c r="D1392" s="447"/>
      <c r="E1392" s="213"/>
      <c r="F1392" s="213"/>
      <c r="G1392" s="213"/>
      <c r="H1392" s="211"/>
      <c r="I1392" s="213"/>
      <c r="J1392" s="213"/>
    </row>
    <row r="1393" spans="1:10" x14ac:dyDescent="0.25">
      <c r="A1393" s="437" t="s">
        <v>100</v>
      </c>
      <c r="B1393" s="438"/>
      <c r="C1393" s="438"/>
      <c r="D1393" s="438"/>
      <c r="E1393" s="438"/>
      <c r="F1393" s="438"/>
      <c r="G1393" s="438"/>
      <c r="H1393" s="438"/>
      <c r="I1393" s="439"/>
      <c r="J1393" s="217">
        <f>SUM(I1389:I1392)</f>
        <v>0</v>
      </c>
    </row>
    <row r="1394" spans="1:10" x14ac:dyDescent="0.25">
      <c r="A1394" s="442" t="s">
        <v>112</v>
      </c>
      <c r="B1394" s="442"/>
      <c r="C1394" s="442"/>
      <c r="D1394" s="442"/>
      <c r="E1394" s="442"/>
      <c r="F1394" s="442"/>
      <c r="G1394" s="442"/>
      <c r="H1394" s="442"/>
      <c r="I1394" s="442"/>
      <c r="J1394" s="442"/>
    </row>
    <row r="1395" spans="1:10" x14ac:dyDescent="0.25">
      <c r="A1395" s="443" t="s">
        <v>113</v>
      </c>
      <c r="B1395" s="443"/>
      <c r="C1395" s="443"/>
      <c r="D1395" s="443"/>
      <c r="E1395" s="223" t="s">
        <v>114</v>
      </c>
      <c r="F1395" s="223" t="s">
        <v>115</v>
      </c>
      <c r="G1395" s="234" t="s">
        <v>116</v>
      </c>
      <c r="H1395" s="223" t="s">
        <v>91</v>
      </c>
      <c r="I1395" s="223" t="s">
        <v>92</v>
      </c>
      <c r="J1395" s="213"/>
    </row>
    <row r="1396" spans="1:10" x14ac:dyDescent="0.25">
      <c r="A1396" s="444" t="s">
        <v>99</v>
      </c>
      <c r="B1396" s="445"/>
      <c r="C1396" s="446"/>
      <c r="D1396" s="211">
        <v>1</v>
      </c>
      <c r="E1396" s="235">
        <f>+IF(D1396="","",VLOOKUP(A1396,$L$4:$O$10,3,FALSE))</f>
        <v>142350</v>
      </c>
      <c r="F1396" s="236">
        <f>+IF(D1396="","",(VLOOKUP(A1396,$L$4:$O$10,4,FALSE))+1)</f>
        <v>1.5821008628015805</v>
      </c>
      <c r="G1396" s="219">
        <f>+IFERROR(F1396*E1396*D1396,"")</f>
        <v>225212.05781980499</v>
      </c>
      <c r="H1396" s="216">
        <v>3</v>
      </c>
      <c r="I1396" s="217">
        <f>IFERROR(G1396/H1396,"")</f>
        <v>75070.685939934992</v>
      </c>
      <c r="J1396" s="213"/>
    </row>
    <row r="1397" spans="1:10" ht="13.35" customHeight="1" x14ac:dyDescent="0.25">
      <c r="A1397" s="444" t="s">
        <v>93</v>
      </c>
      <c r="B1397" s="445"/>
      <c r="C1397" s="446"/>
      <c r="D1397" s="211">
        <v>1</v>
      </c>
      <c r="E1397" s="235">
        <f>+IF(D1397="","",VLOOKUP(A1397,$L$4:$O$10,3,FALSE))</f>
        <v>77842</v>
      </c>
      <c r="F1397" s="236">
        <f>+IF(D1397="","",(VLOOKUP(A1397,$L$4:$O$10,4,FALSE))+1)</f>
        <v>1.6752877632282406</v>
      </c>
      <c r="G1397" s="219">
        <f>+IFERROR(F1397*E1397*D1397,"")</f>
        <v>130407.75006521271</v>
      </c>
      <c r="H1397" s="216">
        <f>+H1396</f>
        <v>3</v>
      </c>
      <c r="I1397" s="217">
        <f t="shared" ref="I1397:I1398" si="136">IFERROR(G1397/H1397,"")</f>
        <v>43469.250021737571</v>
      </c>
      <c r="J1397" s="213"/>
    </row>
    <row r="1398" spans="1:10" ht="13.35" customHeight="1" x14ac:dyDescent="0.25">
      <c r="A1398" s="444" t="s">
        <v>86</v>
      </c>
      <c r="B1398" s="445"/>
      <c r="C1398" s="446"/>
      <c r="D1398" s="211">
        <v>1</v>
      </c>
      <c r="E1398" s="235">
        <f>+IF(D1398="","",VLOOKUP(A1398,$L$4:$O$10,3,FALSE))</f>
        <v>54117</v>
      </c>
      <c r="F1398" s="236">
        <f>+IF(D1398="","",(VLOOKUP(A1398,$L$4:$O$10,4,FALSE))+1)</f>
        <v>1.7246636834087141</v>
      </c>
      <c r="G1398" s="219">
        <f>+IFERROR(F1398*E1398*D1398,"")</f>
        <v>93333.624555029382</v>
      </c>
      <c r="H1398" s="216">
        <f>+IF(D1398="","",IFERROR(H1397,""))</f>
        <v>3</v>
      </c>
      <c r="I1398" s="217">
        <f t="shared" si="136"/>
        <v>31111.208185009793</v>
      </c>
      <c r="J1398" s="213"/>
    </row>
    <row r="1399" spans="1:10" x14ac:dyDescent="0.25">
      <c r="A1399" s="444"/>
      <c r="B1399" s="445"/>
      <c r="C1399" s="446"/>
      <c r="D1399" s="213"/>
      <c r="E1399" s="213"/>
      <c r="F1399" s="213"/>
      <c r="G1399" s="213"/>
      <c r="H1399" s="211"/>
      <c r="I1399" s="217"/>
      <c r="J1399" s="213"/>
    </row>
    <row r="1400" spans="1:10" ht="14.45" customHeight="1" x14ac:dyDescent="0.25">
      <c r="A1400" s="437" t="s">
        <v>100</v>
      </c>
      <c r="B1400" s="438"/>
      <c r="C1400" s="438"/>
      <c r="D1400" s="438"/>
      <c r="E1400" s="438"/>
      <c r="F1400" s="438"/>
      <c r="G1400" s="438"/>
      <c r="H1400" s="438"/>
      <c r="I1400" s="439"/>
      <c r="J1400" s="217">
        <f>SUM(I1396:I1399)</f>
        <v>149651.14414668237</v>
      </c>
    </row>
    <row r="1401" spans="1:10" x14ac:dyDescent="0.25">
      <c r="A1401" s="462" t="str">
        <f>+[48]PRESUPUESTO!$B$1</f>
        <v>CONSTRUCCION DE 14 METROS BOX CULVERT EN EL SECTOR BARRIO NUEVO DE SANTA RITA, CABECERA MUNICIPAL DE RIO IRÓ - DEPARTAMENTO DEL CHOCÓ</v>
      </c>
      <c r="B1401" s="462"/>
      <c r="C1401" s="462"/>
      <c r="D1401" s="462"/>
      <c r="E1401" s="462"/>
      <c r="F1401" s="462"/>
      <c r="G1401" s="462"/>
      <c r="H1401" s="462"/>
      <c r="I1401" s="462"/>
      <c r="J1401" s="462"/>
    </row>
    <row r="1402" spans="1:10" ht="29.45" customHeight="1" x14ac:dyDescent="0.25">
      <c r="A1402" s="463"/>
      <c r="B1402" s="463"/>
      <c r="C1402" s="463"/>
      <c r="D1402" s="463"/>
      <c r="E1402" s="463"/>
      <c r="F1402" s="463"/>
      <c r="G1402" s="463"/>
      <c r="H1402" s="463"/>
      <c r="I1402" s="462"/>
      <c r="J1402" s="462"/>
    </row>
    <row r="1403" spans="1:10" ht="12.2" customHeight="1" x14ac:dyDescent="0.25">
      <c r="A1403" s="256" t="s">
        <v>78</v>
      </c>
      <c r="B1403" s="455" t="s">
        <v>79</v>
      </c>
      <c r="C1403" s="455"/>
      <c r="D1403" s="455"/>
      <c r="E1403" s="455"/>
      <c r="F1403" s="455"/>
      <c r="G1403" s="455"/>
      <c r="H1403" s="455"/>
      <c r="I1403" s="257" t="s">
        <v>80</v>
      </c>
      <c r="J1403" s="258" t="s">
        <v>81</v>
      </c>
    </row>
    <row r="1404" spans="1:10" ht="21.2" customHeight="1" x14ac:dyDescent="0.25">
      <c r="A1404" s="203">
        <v>8.1300000000000008</v>
      </c>
      <c r="B1404" s="456" t="e">
        <f>+VLOOKUP(A1404,[48]PRESUPUESTO!$B$2:$D$19,2,FALSE)</f>
        <v>#N/A</v>
      </c>
      <c r="C1404" s="457"/>
      <c r="D1404" s="457"/>
      <c r="E1404" s="457"/>
      <c r="F1404" s="457"/>
      <c r="G1404" s="457"/>
      <c r="H1404" s="458"/>
      <c r="I1404" s="204" t="e">
        <f>+VLOOKUP(A1404,[48]PRESUPUESTO!$B$2:$D$19,3,FALSE)</f>
        <v>#N/A</v>
      </c>
      <c r="J1404" s="237">
        <f>+ROUND(SUM(J1412:J1439),0)</f>
        <v>6080703</v>
      </c>
    </row>
    <row r="1405" spans="1:10" x14ac:dyDescent="0.25">
      <c r="A1405" s="459" t="s">
        <v>87</v>
      </c>
      <c r="B1405" s="459"/>
      <c r="C1405" s="459"/>
      <c r="D1405" s="459"/>
      <c r="E1405" s="459"/>
      <c r="F1405" s="459"/>
      <c r="G1405" s="459"/>
      <c r="H1405" s="459"/>
      <c r="I1405" s="442"/>
      <c r="J1405" s="442"/>
    </row>
    <row r="1406" spans="1:10" x14ac:dyDescent="0.25">
      <c r="A1406" s="460" t="s">
        <v>2</v>
      </c>
      <c r="B1406" s="460"/>
      <c r="C1406" s="460"/>
      <c r="D1406" s="460"/>
      <c r="E1406" s="460"/>
      <c r="F1406" s="223" t="s">
        <v>89</v>
      </c>
      <c r="G1406" s="234" t="s">
        <v>90</v>
      </c>
      <c r="H1406" s="223" t="s">
        <v>91</v>
      </c>
      <c r="I1406" s="223" t="s">
        <v>92</v>
      </c>
      <c r="J1406" s="213"/>
    </row>
    <row r="1407" spans="1:10" x14ac:dyDescent="0.25">
      <c r="A1407" s="451" t="s">
        <v>95</v>
      </c>
      <c r="B1407" s="451"/>
      <c r="C1407" s="451"/>
      <c r="D1407" s="451"/>
      <c r="E1407" s="451"/>
      <c r="F1407" s="214"/>
      <c r="G1407" s="215">
        <v>0.05</v>
      </c>
      <c r="H1407" s="216"/>
      <c r="I1407" s="217">
        <f>+J1439*G1407</f>
        <v>54228.705699507649</v>
      </c>
      <c r="J1407" s="213"/>
    </row>
    <row r="1408" spans="1:10" x14ac:dyDescent="0.25">
      <c r="A1408" s="461"/>
      <c r="B1408" s="461"/>
      <c r="C1408" s="461"/>
      <c r="D1408" s="461"/>
      <c r="E1408" s="461"/>
      <c r="F1408" s="224" t="str">
        <f>+IF(A1408="","",VLOOKUP(A1408,[46]MATERIALES!$B$7:$D$1222,2,FALSE))</f>
        <v/>
      </c>
      <c r="G1408" s="225" t="str">
        <f>+IF(A1408="","",VLOOKUP(A1408,[46]MATERIALES!$B$7:$E$1222,3,FALSE))</f>
        <v/>
      </c>
      <c r="H1408" s="238" t="str">
        <f>IF(A1408="","",1/H1435)</f>
        <v/>
      </c>
      <c r="I1408" s="217" t="str">
        <f t="shared" ref="I1408:I1411" si="137">IFERROR(G1408*H1408,"")</f>
        <v/>
      </c>
      <c r="J1408" s="213"/>
    </row>
    <row r="1409" spans="1:10" x14ac:dyDescent="0.25">
      <c r="A1409" s="451"/>
      <c r="B1409" s="451"/>
      <c r="C1409" s="451"/>
      <c r="D1409" s="451"/>
      <c r="E1409" s="451"/>
      <c r="F1409" s="224" t="str">
        <f>+IF(A1409="","",VLOOKUP(A1409,[46]MATERIALES!$B$7:$D$1222,2,FALSE))</f>
        <v/>
      </c>
      <c r="G1409" s="225" t="str">
        <f>+IF(A1409="","",VLOOKUP(A1409,[46]MATERIALES!$B$7:$E$1222,3,FALSE))</f>
        <v/>
      </c>
      <c r="H1409" s="238" t="str">
        <f>IF(A1409="","",2/H1435)</f>
        <v/>
      </c>
      <c r="I1409" s="217" t="str">
        <f t="shared" si="137"/>
        <v/>
      </c>
      <c r="J1409" s="213"/>
    </row>
    <row r="1410" spans="1:10" x14ac:dyDescent="0.25">
      <c r="A1410" s="451"/>
      <c r="B1410" s="451"/>
      <c r="C1410" s="451"/>
      <c r="D1410" s="451"/>
      <c r="E1410" s="451"/>
      <c r="F1410" s="224" t="str">
        <f>+IF(A1410="","",VLOOKUP(A1410,[46]MATERIALES!$B$7:$D$1222,2,FALSE))</f>
        <v/>
      </c>
      <c r="G1410" s="225" t="str">
        <f>+IF(A1410="","",VLOOKUP(A1410,[46]MATERIALES!$B$7:$E$1222,3,FALSE))</f>
        <v/>
      </c>
      <c r="H1410" s="238" t="str">
        <f>IF(A1410="","",1/H1436)</f>
        <v/>
      </c>
      <c r="I1410" s="217" t="str">
        <f t="shared" si="137"/>
        <v/>
      </c>
      <c r="J1410" s="213"/>
    </row>
    <row r="1411" spans="1:10" x14ac:dyDescent="0.25">
      <c r="A1411" s="451"/>
      <c r="B1411" s="451"/>
      <c r="C1411" s="451"/>
      <c r="D1411" s="451"/>
      <c r="E1411" s="451"/>
      <c r="F1411" s="224" t="str">
        <f>+IF(A1411="","",VLOOKUP(A1411,[46]MATERIALES!$B$7:$D$1222,2,FALSE))</f>
        <v/>
      </c>
      <c r="G1411" s="225" t="str">
        <f>+IF(A1411="","",VLOOKUP(A1411,[46]MATERIALES!$B$7:$E$1222,3,FALSE))</f>
        <v/>
      </c>
      <c r="H1411" s="238"/>
      <c r="I1411" s="217" t="str">
        <f t="shared" si="137"/>
        <v/>
      </c>
      <c r="J1411" s="219"/>
    </row>
    <row r="1412" spans="1:10" x14ac:dyDescent="0.25">
      <c r="A1412" s="437" t="s">
        <v>100</v>
      </c>
      <c r="B1412" s="438"/>
      <c r="C1412" s="438"/>
      <c r="D1412" s="438"/>
      <c r="E1412" s="438"/>
      <c r="F1412" s="438"/>
      <c r="G1412" s="438"/>
      <c r="H1412" s="438"/>
      <c r="I1412" s="439"/>
      <c r="J1412" s="217">
        <f>+SUM(I1407:I1411)</f>
        <v>54228.705699507649</v>
      </c>
    </row>
    <row r="1413" spans="1:10" x14ac:dyDescent="0.25">
      <c r="A1413" s="442" t="s">
        <v>101</v>
      </c>
      <c r="B1413" s="442"/>
      <c r="C1413" s="442"/>
      <c r="D1413" s="442"/>
      <c r="E1413" s="442"/>
      <c r="F1413" s="442"/>
      <c r="G1413" s="442"/>
      <c r="H1413" s="442"/>
      <c r="I1413" s="442"/>
      <c r="J1413" s="442"/>
    </row>
    <row r="1414" spans="1:10" x14ac:dyDescent="0.25">
      <c r="A1414" s="452" t="s">
        <v>2</v>
      </c>
      <c r="B1414" s="453"/>
      <c r="C1414" s="453"/>
      <c r="D1414" s="454"/>
      <c r="E1414" s="223" t="s">
        <v>3</v>
      </c>
      <c r="F1414" s="223" t="s">
        <v>102</v>
      </c>
      <c r="G1414" s="223" t="s">
        <v>4</v>
      </c>
      <c r="H1414" s="223" t="s">
        <v>103</v>
      </c>
      <c r="I1414" s="223" t="s">
        <v>92</v>
      </c>
      <c r="J1414" s="213"/>
    </row>
    <row r="1415" spans="1:10" x14ac:dyDescent="0.25">
      <c r="A1415" s="448" t="s">
        <v>194</v>
      </c>
      <c r="B1415" s="449"/>
      <c r="C1415" s="449"/>
      <c r="D1415" s="449"/>
      <c r="E1415" s="224" t="str">
        <f>+IF(A1415="","",VLOOKUP(A1415,[46]MATERIALES!$B$7:$D$225,2,FALSE))</f>
        <v>UN</v>
      </c>
      <c r="F1415" s="225">
        <f>+IF(A1415="","",VLOOKUP(A1415,[46]MATERIALES!$B$7:$E$225,3,FALSE))</f>
        <v>4941900</v>
      </c>
      <c r="G1415" s="238">
        <v>1</v>
      </c>
      <c r="H1415" s="227"/>
      <c r="I1415" s="217">
        <f>IFERROR(F1415*G1415*(1+H1415),"")</f>
        <v>4941900</v>
      </c>
      <c r="J1415" s="213"/>
    </row>
    <row r="1416" spans="1:10" x14ac:dyDescent="0.25">
      <c r="A1416" s="448"/>
      <c r="B1416" s="449"/>
      <c r="C1416" s="449"/>
      <c r="D1416" s="449"/>
      <c r="E1416" s="224"/>
      <c r="F1416" s="225"/>
      <c r="G1416" s="238"/>
      <c r="H1416" s="227"/>
      <c r="I1416" s="217">
        <f t="shared" ref="I1416:I1423" si="138">IFERROR(F1416*G1416*(1+H1416),"")</f>
        <v>0</v>
      </c>
      <c r="J1416" s="213"/>
    </row>
    <row r="1417" spans="1:10" x14ac:dyDescent="0.25">
      <c r="A1417" s="448"/>
      <c r="B1417" s="449"/>
      <c r="C1417" s="449"/>
      <c r="D1417" s="449"/>
      <c r="E1417" s="224"/>
      <c r="F1417" s="225"/>
      <c r="G1417" s="238"/>
      <c r="H1417" s="227"/>
      <c r="I1417" s="217">
        <f t="shared" si="138"/>
        <v>0</v>
      </c>
      <c r="J1417" s="213"/>
    </row>
    <row r="1418" spans="1:10" ht="13.35" customHeight="1" x14ac:dyDescent="0.25">
      <c r="A1418" s="448"/>
      <c r="B1418" s="449"/>
      <c r="C1418" s="449"/>
      <c r="D1418" s="449"/>
      <c r="E1418" s="224"/>
      <c r="F1418" s="225"/>
      <c r="G1418" s="226"/>
      <c r="H1418" s="227"/>
      <c r="I1418" s="217">
        <f t="shared" si="138"/>
        <v>0</v>
      </c>
      <c r="J1418" s="213"/>
    </row>
    <row r="1419" spans="1:10" x14ac:dyDescent="0.25">
      <c r="A1419" s="448"/>
      <c r="B1419" s="449"/>
      <c r="C1419" s="449"/>
      <c r="D1419" s="449"/>
      <c r="E1419" s="224"/>
      <c r="F1419" s="225"/>
      <c r="G1419" s="238"/>
      <c r="H1419" s="227"/>
      <c r="I1419" s="217">
        <f t="shared" si="138"/>
        <v>0</v>
      </c>
      <c r="J1419" s="213"/>
    </row>
    <row r="1420" spans="1:10" x14ac:dyDescent="0.25">
      <c r="A1420" s="448"/>
      <c r="B1420" s="449"/>
      <c r="C1420" s="449"/>
      <c r="D1420" s="449"/>
      <c r="E1420" s="224"/>
      <c r="F1420" s="225"/>
      <c r="G1420" s="226"/>
      <c r="H1420" s="227"/>
      <c r="I1420" s="217">
        <f t="shared" si="138"/>
        <v>0</v>
      </c>
      <c r="J1420" s="213"/>
    </row>
    <row r="1421" spans="1:10" x14ac:dyDescent="0.25">
      <c r="A1421" s="448"/>
      <c r="B1421" s="449"/>
      <c r="C1421" s="449"/>
      <c r="D1421" s="450"/>
      <c r="E1421" s="224"/>
      <c r="F1421" s="225"/>
      <c r="G1421" s="226"/>
      <c r="H1421" s="227"/>
      <c r="I1421" s="217">
        <f t="shared" si="138"/>
        <v>0</v>
      </c>
      <c r="J1421" s="213"/>
    </row>
    <row r="1422" spans="1:10" x14ac:dyDescent="0.25">
      <c r="A1422" s="448"/>
      <c r="B1422" s="449"/>
      <c r="C1422" s="449"/>
      <c r="D1422" s="449"/>
      <c r="E1422" s="224"/>
      <c r="F1422" s="225"/>
      <c r="G1422" s="226"/>
      <c r="H1422" s="227"/>
      <c r="I1422" s="217">
        <f t="shared" si="138"/>
        <v>0</v>
      </c>
      <c r="J1422" s="213"/>
    </row>
    <row r="1423" spans="1:10" x14ac:dyDescent="0.25">
      <c r="A1423" s="448"/>
      <c r="B1423" s="449"/>
      <c r="C1423" s="449"/>
      <c r="D1423" s="449"/>
      <c r="E1423" s="224"/>
      <c r="F1423" s="225"/>
      <c r="G1423" s="226"/>
      <c r="H1423" s="227"/>
      <c r="I1423" s="217">
        <f t="shared" si="138"/>
        <v>0</v>
      </c>
      <c r="J1423" s="213"/>
    </row>
    <row r="1424" spans="1:10" x14ac:dyDescent="0.25">
      <c r="A1424" s="444"/>
      <c r="B1424" s="445"/>
      <c r="C1424" s="445"/>
      <c r="D1424" s="445"/>
      <c r="E1424" s="213"/>
      <c r="F1424" s="214"/>
      <c r="G1424" s="218"/>
      <c r="H1424" s="227"/>
      <c r="I1424" s="217">
        <f>IFERROR(F1424*G1424*(1+H1424),"")</f>
        <v>0</v>
      </c>
      <c r="J1424" s="213"/>
    </row>
    <row r="1425" spans="1:10" x14ac:dyDescent="0.25">
      <c r="A1425" s="437" t="s">
        <v>100</v>
      </c>
      <c r="B1425" s="438"/>
      <c r="C1425" s="438"/>
      <c r="D1425" s="438"/>
      <c r="E1425" s="438"/>
      <c r="F1425" s="438"/>
      <c r="G1425" s="438"/>
      <c r="H1425" s="438"/>
      <c r="I1425" s="439"/>
      <c r="J1425" s="217">
        <f>SUM(I1415:I1424)</f>
        <v>4941900</v>
      </c>
    </row>
    <row r="1426" spans="1:10" x14ac:dyDescent="0.25">
      <c r="A1426" s="442" t="s">
        <v>106</v>
      </c>
      <c r="B1426" s="442"/>
      <c r="C1426" s="442"/>
      <c r="D1426" s="442"/>
      <c r="E1426" s="442"/>
      <c r="F1426" s="442"/>
      <c r="G1426" s="442"/>
      <c r="H1426" s="442"/>
      <c r="I1426" s="442"/>
      <c r="J1426" s="442"/>
    </row>
    <row r="1427" spans="1:10" ht="22.5" x14ac:dyDescent="0.25">
      <c r="A1427" s="443" t="s">
        <v>107</v>
      </c>
      <c r="B1427" s="443"/>
      <c r="C1427" s="443"/>
      <c r="D1427" s="443"/>
      <c r="E1427" s="223" t="s">
        <v>108</v>
      </c>
      <c r="F1427" s="230" t="s">
        <v>109</v>
      </c>
      <c r="G1427" s="223" t="s">
        <v>110</v>
      </c>
      <c r="H1427" s="223" t="s">
        <v>111</v>
      </c>
      <c r="I1427" s="223" t="s">
        <v>92</v>
      </c>
      <c r="J1427" s="213"/>
    </row>
    <row r="1428" spans="1:10" x14ac:dyDescent="0.25">
      <c r="A1428" s="447" t="s">
        <v>160</v>
      </c>
      <c r="B1428" s="447"/>
      <c r="C1428" s="447"/>
      <c r="D1428" s="447"/>
      <c r="E1428" s="216" t="e">
        <f>+IF(A1428="","",VLOOKUP(A1428,[46]MATERIALES!$B$7:$E$1222,2,FALSE))</f>
        <v>#N/A</v>
      </c>
      <c r="F1428" s="224">
        <f>1.5*3*1.5</f>
        <v>6.75</v>
      </c>
      <c r="G1428" s="231" t="e">
        <f>+IF(A1428="","",VLOOKUP(A1428,[46]MATERIALES!$B$7:$E$1222,4,FALSE))</f>
        <v>#N/A</v>
      </c>
      <c r="H1428" s="216" t="e">
        <f>+IF(A1428="","",VLOOKUP(A1428,[46]MATERIALES!$B$7:$E$1222,3,FALSE))</f>
        <v>#N/A</v>
      </c>
      <c r="I1428" s="217" t="str">
        <f>IFERROR(G1428*H1428*F1428,"")</f>
        <v/>
      </c>
      <c r="J1428" s="213"/>
    </row>
    <row r="1429" spans="1:10" x14ac:dyDescent="0.25">
      <c r="A1429" s="447"/>
      <c r="B1429" s="447"/>
      <c r="C1429" s="447"/>
      <c r="D1429" s="447"/>
      <c r="E1429" s="216" t="str">
        <f>+IF(A1429="","",VLOOKUP(A1429,[46]MATERIALES!$B$7:$E$1222,2,FALSE))</f>
        <v/>
      </c>
      <c r="F1429" s="224"/>
      <c r="G1429" s="231" t="str">
        <f>+IF(A1429="","",VLOOKUP(A1429,[46]MATERIALES!$B$7:$E$1222,4,FALSE))</f>
        <v/>
      </c>
      <c r="H1429" s="216" t="str">
        <f>+IF(A1429="","",VLOOKUP(A1429,[46]MATERIALES!$B$7:$E$1222,3,FALSE))</f>
        <v/>
      </c>
      <c r="I1429" s="217" t="str">
        <f>IFERROR(G1429*H1429*F1429,"")</f>
        <v/>
      </c>
      <c r="J1429" s="213"/>
    </row>
    <row r="1430" spans="1:10" x14ac:dyDescent="0.25">
      <c r="A1430" s="447"/>
      <c r="B1430" s="447"/>
      <c r="C1430" s="447"/>
      <c r="D1430" s="447"/>
      <c r="E1430" s="213"/>
      <c r="F1430" s="214"/>
      <c r="G1430" s="233"/>
      <c r="H1430" s="216"/>
      <c r="I1430" s="219"/>
      <c r="J1430" s="213"/>
    </row>
    <row r="1431" spans="1:10" x14ac:dyDescent="0.25">
      <c r="A1431" s="447"/>
      <c r="B1431" s="447"/>
      <c r="C1431" s="447"/>
      <c r="D1431" s="447"/>
      <c r="E1431" s="213"/>
      <c r="F1431" s="213"/>
      <c r="G1431" s="213"/>
      <c r="H1431" s="211"/>
      <c r="I1431" s="213"/>
      <c r="J1431" s="213"/>
    </row>
    <row r="1432" spans="1:10" x14ac:dyDescent="0.25">
      <c r="A1432" s="437" t="s">
        <v>100</v>
      </c>
      <c r="B1432" s="438"/>
      <c r="C1432" s="438"/>
      <c r="D1432" s="438"/>
      <c r="E1432" s="438"/>
      <c r="F1432" s="438"/>
      <c r="G1432" s="438"/>
      <c r="H1432" s="438"/>
      <c r="I1432" s="439"/>
      <c r="J1432" s="217">
        <f>SUM(I1428:I1431)</f>
        <v>0</v>
      </c>
    </row>
    <row r="1433" spans="1:10" x14ac:dyDescent="0.25">
      <c r="A1433" s="442" t="s">
        <v>112</v>
      </c>
      <c r="B1433" s="442"/>
      <c r="C1433" s="442"/>
      <c r="D1433" s="442"/>
      <c r="E1433" s="442"/>
      <c r="F1433" s="442"/>
      <c r="G1433" s="442"/>
      <c r="H1433" s="442"/>
      <c r="I1433" s="442"/>
      <c r="J1433" s="442"/>
    </row>
    <row r="1434" spans="1:10" x14ac:dyDescent="0.25">
      <c r="A1434" s="443" t="s">
        <v>113</v>
      </c>
      <c r="B1434" s="443"/>
      <c r="C1434" s="443"/>
      <c r="D1434" s="443"/>
      <c r="E1434" s="223" t="s">
        <v>114</v>
      </c>
      <c r="F1434" s="223" t="s">
        <v>115</v>
      </c>
      <c r="G1434" s="234" t="s">
        <v>116</v>
      </c>
      <c r="H1434" s="223" t="s">
        <v>91</v>
      </c>
      <c r="I1434" s="223" t="s">
        <v>92</v>
      </c>
      <c r="J1434" s="213"/>
    </row>
    <row r="1435" spans="1:10" x14ac:dyDescent="0.25">
      <c r="A1435" s="444" t="s">
        <v>99</v>
      </c>
      <c r="B1435" s="445"/>
      <c r="C1435" s="446"/>
      <c r="D1435" s="211">
        <v>1</v>
      </c>
      <c r="E1435" s="235">
        <f>+IF(D1435="","",VLOOKUP(A1435,$L$4:$O$10,3,FALSE))</f>
        <v>142350</v>
      </c>
      <c r="F1435" s="236">
        <f>+IF(D1435="","",(VLOOKUP(A1435,$L$4:$O$10,4,FALSE))+1)</f>
        <v>1.5821008628015805</v>
      </c>
      <c r="G1435" s="219">
        <f>+IFERROR(F1435*E1435*D1435,"")</f>
        <v>225212.05781980499</v>
      </c>
      <c r="H1435" s="216">
        <v>0.5</v>
      </c>
      <c r="I1435" s="217">
        <f>IFERROR(G1435/H1435,"")</f>
        <v>450424.11563960998</v>
      </c>
      <c r="J1435" s="213"/>
    </row>
    <row r="1436" spans="1:10" ht="13.35" customHeight="1" x14ac:dyDescent="0.25">
      <c r="A1436" s="444" t="s">
        <v>93</v>
      </c>
      <c r="B1436" s="445"/>
      <c r="C1436" s="446"/>
      <c r="D1436" s="211">
        <v>1</v>
      </c>
      <c r="E1436" s="235">
        <f>+IF(D1436="","",VLOOKUP(A1436,$L$4:$O$10,3,FALSE))</f>
        <v>77842</v>
      </c>
      <c r="F1436" s="236">
        <f>+IF(D1436="","",(VLOOKUP(A1436,$L$4:$O$10,4,FALSE))+1)</f>
        <v>1.6752877632282406</v>
      </c>
      <c r="G1436" s="219">
        <f>+IFERROR(F1436*E1436*D1436,"")</f>
        <v>130407.75006521271</v>
      </c>
      <c r="H1436" s="216">
        <f>+H1435</f>
        <v>0.5</v>
      </c>
      <c r="I1436" s="217">
        <f t="shared" ref="I1436:I1437" si="139">IFERROR(G1436/H1436,"")</f>
        <v>260815.50013042541</v>
      </c>
      <c r="J1436" s="213"/>
    </row>
    <row r="1437" spans="1:10" ht="13.35" customHeight="1" x14ac:dyDescent="0.25">
      <c r="A1437" s="444" t="s">
        <v>86</v>
      </c>
      <c r="B1437" s="445"/>
      <c r="C1437" s="446"/>
      <c r="D1437" s="211">
        <v>2</v>
      </c>
      <c r="E1437" s="235">
        <f>+IF(D1437="","",VLOOKUP(A1437,$L$4:$O$10,3,FALSE))</f>
        <v>54117</v>
      </c>
      <c r="F1437" s="236">
        <f>+IF(D1437="","",(VLOOKUP(A1437,$L$4:$O$10,4,FALSE))+1)</f>
        <v>1.7246636834087141</v>
      </c>
      <c r="G1437" s="219">
        <f>+IFERROR(F1437*E1437*D1437,"")</f>
        <v>186667.24911005876</v>
      </c>
      <c r="H1437" s="216">
        <f>+IF(D1437="","",IFERROR(H1436,""))</f>
        <v>0.5</v>
      </c>
      <c r="I1437" s="217">
        <f t="shared" si="139"/>
        <v>373334.49822011753</v>
      </c>
      <c r="J1437" s="213"/>
    </row>
    <row r="1438" spans="1:10" x14ac:dyDescent="0.25">
      <c r="A1438" s="444"/>
      <c r="B1438" s="445"/>
      <c r="C1438" s="446"/>
      <c r="D1438" s="213"/>
      <c r="E1438" s="213"/>
      <c r="F1438" s="213"/>
      <c r="G1438" s="213"/>
      <c r="H1438" s="211"/>
      <c r="I1438" s="217"/>
      <c r="J1438" s="213"/>
    </row>
    <row r="1439" spans="1:10" ht="14.45" customHeight="1" x14ac:dyDescent="0.25">
      <c r="A1439" s="437" t="s">
        <v>100</v>
      </c>
      <c r="B1439" s="438"/>
      <c r="C1439" s="438"/>
      <c r="D1439" s="438"/>
      <c r="E1439" s="438"/>
      <c r="F1439" s="438"/>
      <c r="G1439" s="438"/>
      <c r="H1439" s="438"/>
      <c r="I1439" s="439"/>
      <c r="J1439" s="217">
        <f>SUM(I1435:I1438)</f>
        <v>1084574.113990153</v>
      </c>
    </row>
    <row r="1440" spans="1:10" x14ac:dyDescent="0.25">
      <c r="A1440" s="462" t="str">
        <f>+[48]PRESUPUESTO!$B$1</f>
        <v>CONSTRUCCION DE 14 METROS BOX CULVERT EN EL SECTOR BARRIO NUEVO DE SANTA RITA, CABECERA MUNICIPAL DE RIO IRÓ - DEPARTAMENTO DEL CHOCÓ</v>
      </c>
      <c r="B1440" s="462"/>
      <c r="C1440" s="462"/>
      <c r="D1440" s="462"/>
      <c r="E1440" s="462"/>
      <c r="F1440" s="462"/>
      <c r="G1440" s="462"/>
      <c r="H1440" s="462"/>
      <c r="I1440" s="462"/>
      <c r="J1440" s="462"/>
    </row>
    <row r="1441" spans="1:10" ht="29.45" customHeight="1" x14ac:dyDescent="0.25">
      <c r="A1441" s="463"/>
      <c r="B1441" s="463"/>
      <c r="C1441" s="463"/>
      <c r="D1441" s="463"/>
      <c r="E1441" s="463"/>
      <c r="F1441" s="463"/>
      <c r="G1441" s="463"/>
      <c r="H1441" s="463"/>
      <c r="I1441" s="462"/>
      <c r="J1441" s="462"/>
    </row>
    <row r="1442" spans="1:10" ht="12.2" customHeight="1" x14ac:dyDescent="0.25">
      <c r="A1442" s="256" t="s">
        <v>78</v>
      </c>
      <c r="B1442" s="455" t="s">
        <v>79</v>
      </c>
      <c r="C1442" s="455"/>
      <c r="D1442" s="455"/>
      <c r="E1442" s="455"/>
      <c r="F1442" s="455"/>
      <c r="G1442" s="455"/>
      <c r="H1442" s="455"/>
      <c r="I1442" s="257" t="s">
        <v>80</v>
      </c>
      <c r="J1442" s="258" t="s">
        <v>81</v>
      </c>
    </row>
    <row r="1443" spans="1:10" ht="36" customHeight="1" x14ac:dyDescent="0.25">
      <c r="A1443" s="203">
        <v>9.02</v>
      </c>
      <c r="B1443" s="456" t="e">
        <f>+VLOOKUP(A1443,[48]PRESUPUESTO!$B$2:$D$19,2,FALSE)</f>
        <v>#N/A</v>
      </c>
      <c r="C1443" s="457"/>
      <c r="D1443" s="457"/>
      <c r="E1443" s="457"/>
      <c r="F1443" s="457"/>
      <c r="G1443" s="457"/>
      <c r="H1443" s="458"/>
      <c r="I1443" s="204" t="e">
        <f>+VLOOKUP(A1443,[48]PRESUPUESTO!$B$2:$D$19,3,FALSE)</f>
        <v>#N/A</v>
      </c>
      <c r="J1443" s="237">
        <f>+ROUND(SUM(J1451:J1478),0)</f>
        <v>633195</v>
      </c>
    </row>
    <row r="1444" spans="1:10" x14ac:dyDescent="0.25">
      <c r="A1444" s="459" t="s">
        <v>87</v>
      </c>
      <c r="B1444" s="459"/>
      <c r="C1444" s="459"/>
      <c r="D1444" s="459"/>
      <c r="E1444" s="459"/>
      <c r="F1444" s="459"/>
      <c r="G1444" s="459"/>
      <c r="H1444" s="459"/>
      <c r="I1444" s="442"/>
      <c r="J1444" s="442"/>
    </row>
    <row r="1445" spans="1:10" x14ac:dyDescent="0.25">
      <c r="A1445" s="460" t="s">
        <v>2</v>
      </c>
      <c r="B1445" s="460"/>
      <c r="C1445" s="460"/>
      <c r="D1445" s="460"/>
      <c r="E1445" s="460"/>
      <c r="F1445" s="223" t="s">
        <v>89</v>
      </c>
      <c r="G1445" s="234" t="s">
        <v>90</v>
      </c>
      <c r="H1445" s="223" t="s">
        <v>91</v>
      </c>
      <c r="I1445" s="223" t="s">
        <v>92</v>
      </c>
      <c r="J1445" s="213"/>
    </row>
    <row r="1446" spans="1:10" x14ac:dyDescent="0.25">
      <c r="A1446" s="451" t="s">
        <v>95</v>
      </c>
      <c r="B1446" s="451"/>
      <c r="C1446" s="451"/>
      <c r="D1446" s="451"/>
      <c r="E1446" s="451"/>
      <c r="F1446" s="214"/>
      <c r="G1446" s="215">
        <v>0.05</v>
      </c>
      <c r="H1446" s="216"/>
      <c r="I1446" s="217">
        <f>+J1478*G1446</f>
        <v>4445.2475985627216</v>
      </c>
      <c r="J1446" s="213"/>
    </row>
    <row r="1447" spans="1:10" x14ac:dyDescent="0.25">
      <c r="A1447" s="461" t="s">
        <v>134</v>
      </c>
      <c r="B1447" s="461"/>
      <c r="C1447" s="461"/>
      <c r="D1447" s="461"/>
      <c r="E1447" s="461"/>
      <c r="F1447" s="224" t="str">
        <f>+IF(A1447="","",VLOOKUP(A1447,[46]MATERIALES!$B$7:$D$1222,2,FALSE))</f>
        <v>DIA</v>
      </c>
      <c r="G1447" s="225">
        <f>+IF(A1447="","",VLOOKUP(A1447,[46]MATERIALES!$B$7:$E$1222,3,FALSE))</f>
        <v>50000</v>
      </c>
      <c r="H1447" s="238">
        <f>IF(A1447="","",1/H1474)</f>
        <v>0.25</v>
      </c>
      <c r="I1447" s="217">
        <f t="shared" ref="I1447:I1450" si="140">IFERROR(G1447*H1447,"")</f>
        <v>12500</v>
      </c>
      <c r="J1447" s="213"/>
    </row>
    <row r="1448" spans="1:10" x14ac:dyDescent="0.25">
      <c r="A1448" s="451"/>
      <c r="B1448" s="451"/>
      <c r="C1448" s="451"/>
      <c r="D1448" s="451"/>
      <c r="E1448" s="451"/>
      <c r="F1448" s="224" t="str">
        <f>+IF(A1448="","",VLOOKUP(A1448,[46]MATERIALES!$B$7:$D$1222,2,FALSE))</f>
        <v/>
      </c>
      <c r="G1448" s="225" t="str">
        <f>+IF(A1448="","",VLOOKUP(A1448,[46]MATERIALES!$B$7:$E$1222,3,FALSE))</f>
        <v/>
      </c>
      <c r="H1448" s="238" t="str">
        <f>IF(A1448="","",2/H1474)</f>
        <v/>
      </c>
      <c r="I1448" s="217" t="str">
        <f t="shared" si="140"/>
        <v/>
      </c>
      <c r="J1448" s="213"/>
    </row>
    <row r="1449" spans="1:10" x14ac:dyDescent="0.25">
      <c r="A1449" s="451"/>
      <c r="B1449" s="451"/>
      <c r="C1449" s="451"/>
      <c r="D1449" s="451"/>
      <c r="E1449" s="451"/>
      <c r="F1449" s="224" t="str">
        <f>+IF(A1449="","",VLOOKUP(A1449,[46]MATERIALES!$B$7:$D$1222,2,FALSE))</f>
        <v/>
      </c>
      <c r="G1449" s="225" t="str">
        <f>+IF(A1449="","",VLOOKUP(A1449,[46]MATERIALES!$B$7:$E$1222,3,FALSE))</f>
        <v/>
      </c>
      <c r="H1449" s="238" t="str">
        <f>IF(A1449="","",1/H1475)</f>
        <v/>
      </c>
      <c r="I1449" s="217" t="str">
        <f t="shared" si="140"/>
        <v/>
      </c>
      <c r="J1449" s="213"/>
    </row>
    <row r="1450" spans="1:10" x14ac:dyDescent="0.25">
      <c r="A1450" s="451"/>
      <c r="B1450" s="451"/>
      <c r="C1450" s="451"/>
      <c r="D1450" s="451"/>
      <c r="E1450" s="451"/>
      <c r="F1450" s="224" t="str">
        <f>+IF(A1450="","",VLOOKUP(A1450,[46]MATERIALES!$B$7:$D$1222,2,FALSE))</f>
        <v/>
      </c>
      <c r="G1450" s="225" t="str">
        <f>+IF(A1450="","",VLOOKUP(A1450,[46]MATERIALES!$B$7:$E$1222,3,FALSE))</f>
        <v/>
      </c>
      <c r="H1450" s="238"/>
      <c r="I1450" s="217" t="str">
        <f t="shared" si="140"/>
        <v/>
      </c>
      <c r="J1450" s="219"/>
    </row>
    <row r="1451" spans="1:10" x14ac:dyDescent="0.25">
      <c r="A1451" s="437" t="s">
        <v>100</v>
      </c>
      <c r="B1451" s="438"/>
      <c r="C1451" s="438"/>
      <c r="D1451" s="438"/>
      <c r="E1451" s="438"/>
      <c r="F1451" s="438"/>
      <c r="G1451" s="438"/>
      <c r="H1451" s="438"/>
      <c r="I1451" s="439"/>
      <c r="J1451" s="217">
        <f>+SUM(I1446:I1450)</f>
        <v>16945.247598562721</v>
      </c>
    </row>
    <row r="1452" spans="1:10" x14ac:dyDescent="0.25">
      <c r="A1452" s="442" t="s">
        <v>101</v>
      </c>
      <c r="B1452" s="442"/>
      <c r="C1452" s="442"/>
      <c r="D1452" s="442"/>
      <c r="E1452" s="442"/>
      <c r="F1452" s="442"/>
      <c r="G1452" s="442"/>
      <c r="H1452" s="442"/>
      <c r="I1452" s="442"/>
      <c r="J1452" s="442"/>
    </row>
    <row r="1453" spans="1:10" x14ac:dyDescent="0.25">
      <c r="A1453" s="452" t="s">
        <v>2</v>
      </c>
      <c r="B1453" s="453"/>
      <c r="C1453" s="453"/>
      <c r="D1453" s="454"/>
      <c r="E1453" s="223" t="s">
        <v>3</v>
      </c>
      <c r="F1453" s="223" t="s">
        <v>102</v>
      </c>
      <c r="G1453" s="223" t="s">
        <v>4</v>
      </c>
      <c r="H1453" s="223" t="s">
        <v>103</v>
      </c>
      <c r="I1453" s="223" t="s">
        <v>92</v>
      </c>
      <c r="J1453" s="213"/>
    </row>
    <row r="1454" spans="1:10" x14ac:dyDescent="0.25">
      <c r="A1454" s="448" t="s">
        <v>195</v>
      </c>
      <c r="B1454" s="449"/>
      <c r="C1454" s="449"/>
      <c r="D1454" s="449"/>
      <c r="E1454" s="224" t="str">
        <f>+IF(A1454="","",VLOOKUP(A1454,[46]MATERIALES!$B$7:$D$225,2,FALSE))</f>
        <v>m2</v>
      </c>
      <c r="F1454" s="225">
        <f>+IF(A1454="","",VLOOKUP(A1454,[46]MATERIALES!$B$7:$E$225,3,FALSE))</f>
        <v>525000</v>
      </c>
      <c r="G1454" s="238">
        <v>1</v>
      </c>
      <c r="H1454" s="227"/>
      <c r="I1454" s="217">
        <f>IFERROR(F1454*G1454*(1+H1454),"")</f>
        <v>525000</v>
      </c>
      <c r="J1454" s="213"/>
    </row>
    <row r="1455" spans="1:10" x14ac:dyDescent="0.25">
      <c r="A1455" s="448" t="s">
        <v>136</v>
      </c>
      <c r="B1455" s="449"/>
      <c r="C1455" s="449"/>
      <c r="D1455" s="449"/>
      <c r="E1455" s="224" t="str">
        <f>+IF(A1455="","",VLOOKUP(A1455,[46]MATERIALES!$B$7:$D$225,2,FALSE))</f>
        <v>m3</v>
      </c>
      <c r="F1455" s="225">
        <f>+IF(A1455="","",VLOOKUP(A1455,[46]MATERIALES!$B$7:$E$225,3,FALSE))</f>
        <v>977096</v>
      </c>
      <c r="G1455" s="238">
        <f>0.12*0.02</f>
        <v>2.3999999999999998E-3</v>
      </c>
      <c r="H1455" s="227"/>
      <c r="I1455" s="217">
        <f t="shared" ref="I1455:I1462" si="141">IFERROR(F1455*G1455*(1+H1455),"")</f>
        <v>2345.0303999999996</v>
      </c>
      <c r="J1455" s="213"/>
    </row>
    <row r="1456" spans="1:10" x14ac:dyDescent="0.25">
      <c r="A1456" s="448"/>
      <c r="B1456" s="449"/>
      <c r="C1456" s="449"/>
      <c r="D1456" s="449"/>
      <c r="E1456" s="224"/>
      <c r="F1456" s="225"/>
      <c r="G1456" s="238"/>
      <c r="H1456" s="227"/>
      <c r="I1456" s="217">
        <f t="shared" si="141"/>
        <v>0</v>
      </c>
      <c r="J1456" s="213"/>
    </row>
    <row r="1457" spans="1:10" ht="13.35" customHeight="1" x14ac:dyDescent="0.25">
      <c r="A1457" s="448"/>
      <c r="B1457" s="449"/>
      <c r="C1457" s="449"/>
      <c r="D1457" s="449"/>
      <c r="E1457" s="224"/>
      <c r="F1457" s="225"/>
      <c r="G1457" s="226"/>
      <c r="H1457" s="227"/>
      <c r="I1457" s="217">
        <f t="shared" si="141"/>
        <v>0</v>
      </c>
      <c r="J1457" s="213"/>
    </row>
    <row r="1458" spans="1:10" x14ac:dyDescent="0.25">
      <c r="A1458" s="448"/>
      <c r="B1458" s="449"/>
      <c r="C1458" s="449"/>
      <c r="D1458" s="449"/>
      <c r="E1458" s="224"/>
      <c r="F1458" s="225"/>
      <c r="G1458" s="238"/>
      <c r="H1458" s="227"/>
      <c r="I1458" s="217">
        <f t="shared" si="141"/>
        <v>0</v>
      </c>
      <c r="J1458" s="213"/>
    </row>
    <row r="1459" spans="1:10" x14ac:dyDescent="0.25">
      <c r="A1459" s="448"/>
      <c r="B1459" s="449"/>
      <c r="C1459" s="449"/>
      <c r="D1459" s="449"/>
      <c r="E1459" s="224"/>
      <c r="F1459" s="225"/>
      <c r="G1459" s="226"/>
      <c r="H1459" s="227"/>
      <c r="I1459" s="217">
        <f t="shared" si="141"/>
        <v>0</v>
      </c>
      <c r="J1459" s="213"/>
    </row>
    <row r="1460" spans="1:10" x14ac:dyDescent="0.25">
      <c r="A1460" s="448"/>
      <c r="B1460" s="449"/>
      <c r="C1460" s="449"/>
      <c r="D1460" s="450"/>
      <c r="E1460" s="224"/>
      <c r="F1460" s="225"/>
      <c r="G1460" s="226"/>
      <c r="H1460" s="227"/>
      <c r="I1460" s="217">
        <f t="shared" si="141"/>
        <v>0</v>
      </c>
      <c r="J1460" s="213"/>
    </row>
    <row r="1461" spans="1:10" x14ac:dyDescent="0.25">
      <c r="A1461" s="448"/>
      <c r="B1461" s="449"/>
      <c r="C1461" s="449"/>
      <c r="D1461" s="449"/>
      <c r="E1461" s="224"/>
      <c r="F1461" s="225"/>
      <c r="G1461" s="226"/>
      <c r="H1461" s="227"/>
      <c r="I1461" s="217">
        <f t="shared" si="141"/>
        <v>0</v>
      </c>
      <c r="J1461" s="213"/>
    </row>
    <row r="1462" spans="1:10" x14ac:dyDescent="0.25">
      <c r="A1462" s="448"/>
      <c r="B1462" s="449"/>
      <c r="C1462" s="449"/>
      <c r="D1462" s="449"/>
      <c r="E1462" s="224"/>
      <c r="F1462" s="225"/>
      <c r="G1462" s="226"/>
      <c r="H1462" s="227"/>
      <c r="I1462" s="217">
        <f t="shared" si="141"/>
        <v>0</v>
      </c>
      <c r="J1462" s="213"/>
    </row>
    <row r="1463" spans="1:10" x14ac:dyDescent="0.25">
      <c r="A1463" s="444"/>
      <c r="B1463" s="445"/>
      <c r="C1463" s="445"/>
      <c r="D1463" s="445"/>
      <c r="E1463" s="213"/>
      <c r="F1463" s="214"/>
      <c r="G1463" s="218"/>
      <c r="H1463" s="227"/>
      <c r="I1463" s="217">
        <f>IFERROR(F1463*G1463*(1+H1463),"")</f>
        <v>0</v>
      </c>
      <c r="J1463" s="213"/>
    </row>
    <row r="1464" spans="1:10" x14ac:dyDescent="0.25">
      <c r="A1464" s="437" t="s">
        <v>100</v>
      </c>
      <c r="B1464" s="438"/>
      <c r="C1464" s="438"/>
      <c r="D1464" s="438"/>
      <c r="E1464" s="438"/>
      <c r="F1464" s="438"/>
      <c r="G1464" s="438"/>
      <c r="H1464" s="438"/>
      <c r="I1464" s="439"/>
      <c r="J1464" s="217">
        <f>SUM(I1454:I1463)</f>
        <v>527345.03040000005</v>
      </c>
    </row>
    <row r="1465" spans="1:10" x14ac:dyDescent="0.25">
      <c r="A1465" s="442" t="s">
        <v>106</v>
      </c>
      <c r="B1465" s="442"/>
      <c r="C1465" s="442"/>
      <c r="D1465" s="442"/>
      <c r="E1465" s="442"/>
      <c r="F1465" s="442"/>
      <c r="G1465" s="442"/>
      <c r="H1465" s="442"/>
      <c r="I1465" s="442"/>
      <c r="J1465" s="442"/>
    </row>
    <row r="1466" spans="1:10" ht="22.5" x14ac:dyDescent="0.25">
      <c r="A1466" s="443" t="s">
        <v>107</v>
      </c>
      <c r="B1466" s="443"/>
      <c r="C1466" s="443"/>
      <c r="D1466" s="443"/>
      <c r="E1466" s="223" t="s">
        <v>108</v>
      </c>
      <c r="F1466" s="230" t="s">
        <v>109</v>
      </c>
      <c r="G1466" s="223" t="s">
        <v>110</v>
      </c>
      <c r="H1466" s="223" t="s">
        <v>111</v>
      </c>
      <c r="I1466" s="223" t="s">
        <v>92</v>
      </c>
      <c r="J1466" s="213"/>
    </row>
    <row r="1467" spans="1:10" x14ac:dyDescent="0.25">
      <c r="A1467" s="447" t="s">
        <v>160</v>
      </c>
      <c r="B1467" s="447"/>
      <c r="C1467" s="447"/>
      <c r="D1467" s="447"/>
      <c r="E1467" s="216" t="e">
        <f>+IF(A1467="","",VLOOKUP(A1467,[46]MATERIALES!$B$7:$E$1222,2,FALSE))</f>
        <v>#N/A</v>
      </c>
      <c r="F1467" s="224">
        <v>0.15</v>
      </c>
      <c r="G1467" s="231" t="e">
        <f>+IF(A1467="","",VLOOKUP(A1467,[46]MATERIALES!$B$7:$E$1222,4,FALSE))</f>
        <v>#N/A</v>
      </c>
      <c r="H1467" s="216" t="e">
        <f>+IF(A1467="","",VLOOKUP(A1467,[46]MATERIALES!$B$7:$E$1222,3,FALSE))</f>
        <v>#N/A</v>
      </c>
      <c r="I1467" s="217" t="str">
        <f>IFERROR(G1467*H1467*F1467,"")</f>
        <v/>
      </c>
      <c r="J1467" s="213"/>
    </row>
    <row r="1468" spans="1:10" x14ac:dyDescent="0.25">
      <c r="A1468" s="447"/>
      <c r="B1468" s="447"/>
      <c r="C1468" s="447"/>
      <c r="D1468" s="447"/>
      <c r="E1468" s="216" t="str">
        <f>+IF(A1468="","",VLOOKUP(A1468,[46]MATERIALES!$B$7:$E$1222,2,FALSE))</f>
        <v/>
      </c>
      <c r="F1468" s="224"/>
      <c r="G1468" s="231" t="str">
        <f>+IF(A1468="","",VLOOKUP(A1468,[46]MATERIALES!$B$7:$E$1222,4,FALSE))</f>
        <v/>
      </c>
      <c r="H1468" s="216" t="str">
        <f>+IF(A1468="","",VLOOKUP(A1468,[46]MATERIALES!$B$7:$E$1222,3,FALSE))</f>
        <v/>
      </c>
      <c r="I1468" s="217" t="str">
        <f>IFERROR(G1468*H1468*F1468,"")</f>
        <v/>
      </c>
      <c r="J1468" s="213"/>
    </row>
    <row r="1469" spans="1:10" x14ac:dyDescent="0.25">
      <c r="A1469" s="447"/>
      <c r="B1469" s="447"/>
      <c r="C1469" s="447"/>
      <c r="D1469" s="447"/>
      <c r="E1469" s="213"/>
      <c r="F1469" s="214"/>
      <c r="G1469" s="233"/>
      <c r="H1469" s="216"/>
      <c r="I1469" s="219"/>
      <c r="J1469" s="213"/>
    </row>
    <row r="1470" spans="1:10" x14ac:dyDescent="0.25">
      <c r="A1470" s="447"/>
      <c r="B1470" s="447"/>
      <c r="C1470" s="447"/>
      <c r="D1470" s="447"/>
      <c r="E1470" s="213"/>
      <c r="F1470" s="213"/>
      <c r="G1470" s="213"/>
      <c r="H1470" s="211"/>
      <c r="I1470" s="213"/>
      <c r="J1470" s="213"/>
    </row>
    <row r="1471" spans="1:10" x14ac:dyDescent="0.25">
      <c r="A1471" s="437" t="s">
        <v>100</v>
      </c>
      <c r="B1471" s="438"/>
      <c r="C1471" s="438"/>
      <c r="D1471" s="438"/>
      <c r="E1471" s="438"/>
      <c r="F1471" s="438"/>
      <c r="G1471" s="438"/>
      <c r="H1471" s="438"/>
      <c r="I1471" s="439"/>
      <c r="J1471" s="217">
        <f>SUM(I1467:I1470)</f>
        <v>0</v>
      </c>
    </row>
    <row r="1472" spans="1:10" x14ac:dyDescent="0.25">
      <c r="A1472" s="442" t="s">
        <v>112</v>
      </c>
      <c r="B1472" s="442"/>
      <c r="C1472" s="442"/>
      <c r="D1472" s="442"/>
      <c r="E1472" s="442"/>
      <c r="F1472" s="442"/>
      <c r="G1472" s="442"/>
      <c r="H1472" s="442"/>
      <c r="I1472" s="442"/>
      <c r="J1472" s="442"/>
    </row>
    <row r="1473" spans="1:10" x14ac:dyDescent="0.25">
      <c r="A1473" s="443" t="s">
        <v>113</v>
      </c>
      <c r="B1473" s="443"/>
      <c r="C1473" s="443"/>
      <c r="D1473" s="443"/>
      <c r="E1473" s="223" t="s">
        <v>114</v>
      </c>
      <c r="F1473" s="223" t="s">
        <v>115</v>
      </c>
      <c r="G1473" s="234" t="s">
        <v>116</v>
      </c>
      <c r="H1473" s="223" t="s">
        <v>91</v>
      </c>
      <c r="I1473" s="223" t="s">
        <v>92</v>
      </c>
      <c r="J1473" s="213"/>
    </row>
    <row r="1474" spans="1:10" x14ac:dyDescent="0.25">
      <c r="A1474" s="444" t="s">
        <v>99</v>
      </c>
      <c r="B1474" s="445"/>
      <c r="C1474" s="446"/>
      <c r="D1474" s="211">
        <v>1</v>
      </c>
      <c r="E1474" s="235">
        <f>+IF(D1474="","",VLOOKUP(A1474,$L$4:$O$10,3,FALSE))</f>
        <v>142350</v>
      </c>
      <c r="F1474" s="236">
        <f>+IF(D1474="","",(VLOOKUP(A1474,$L$4:$O$10,4,FALSE))+1)</f>
        <v>1.5821008628015805</v>
      </c>
      <c r="G1474" s="219">
        <f>+IFERROR(F1474*E1474*D1474,"")</f>
        <v>225212.05781980499</v>
      </c>
      <c r="H1474" s="216">
        <v>4</v>
      </c>
      <c r="I1474" s="217">
        <f>IFERROR(G1474/H1474,"")</f>
        <v>56303.014454951248</v>
      </c>
      <c r="J1474" s="213"/>
    </row>
    <row r="1475" spans="1:10" ht="13.35" customHeight="1" x14ac:dyDescent="0.25">
      <c r="A1475" s="444" t="s">
        <v>93</v>
      </c>
      <c r="B1475" s="445"/>
      <c r="C1475" s="446"/>
      <c r="D1475" s="211">
        <v>1</v>
      </c>
      <c r="E1475" s="235">
        <f>+IF(D1475="","",VLOOKUP(A1475,$L$4:$O$10,3,FALSE))</f>
        <v>77842</v>
      </c>
      <c r="F1475" s="236">
        <f>+IF(D1475="","",(VLOOKUP(A1475,$L$4:$O$10,4,FALSE))+1)</f>
        <v>1.6752877632282406</v>
      </c>
      <c r="G1475" s="219">
        <f>+IFERROR(F1475*E1475*D1475,"")</f>
        <v>130407.75006521271</v>
      </c>
      <c r="H1475" s="216">
        <f>+H1474</f>
        <v>4</v>
      </c>
      <c r="I1475" s="217">
        <f t="shared" ref="I1475:I1476" si="142">IFERROR(G1475/H1475,"")</f>
        <v>32601.937516303176</v>
      </c>
      <c r="J1475" s="213"/>
    </row>
    <row r="1476" spans="1:10" ht="13.35" customHeight="1" x14ac:dyDescent="0.25">
      <c r="A1476" s="444"/>
      <c r="B1476" s="445"/>
      <c r="C1476" s="446"/>
      <c r="D1476" s="211"/>
      <c r="E1476" s="235" t="str">
        <f>+IF(D1476="","",VLOOKUP(A1476,$L$4:$O$10,3,FALSE))</f>
        <v/>
      </c>
      <c r="F1476" s="236" t="str">
        <f>+IF(D1476="","",(VLOOKUP(A1476,$L$4:$O$10,4,FALSE))+1)</f>
        <v/>
      </c>
      <c r="G1476" s="219" t="str">
        <f>+IFERROR(F1476*E1476*D1476,"")</f>
        <v/>
      </c>
      <c r="H1476" s="216" t="str">
        <f>+IF(D1476="","",IFERROR(H1475,""))</f>
        <v/>
      </c>
      <c r="I1476" s="217" t="str">
        <f t="shared" si="142"/>
        <v/>
      </c>
      <c r="J1476" s="213"/>
    </row>
    <row r="1477" spans="1:10" x14ac:dyDescent="0.25">
      <c r="A1477" s="444"/>
      <c r="B1477" s="445"/>
      <c r="C1477" s="446"/>
      <c r="D1477" s="213"/>
      <c r="E1477" s="213"/>
      <c r="F1477" s="213"/>
      <c r="G1477" s="213"/>
      <c r="H1477" s="211"/>
      <c r="I1477" s="217"/>
      <c r="J1477" s="213"/>
    </row>
    <row r="1478" spans="1:10" ht="14.45" customHeight="1" x14ac:dyDescent="0.25">
      <c r="A1478" s="437" t="s">
        <v>100</v>
      </c>
      <c r="B1478" s="438"/>
      <c r="C1478" s="438"/>
      <c r="D1478" s="438"/>
      <c r="E1478" s="438"/>
      <c r="F1478" s="438"/>
      <c r="G1478" s="438"/>
      <c r="H1478" s="438"/>
      <c r="I1478" s="439"/>
      <c r="J1478" s="217">
        <f>SUM(I1474:I1477)</f>
        <v>88904.951971254428</v>
      </c>
    </row>
    <row r="1479" spans="1:10" x14ac:dyDescent="0.25">
      <c r="A1479" s="462" t="str">
        <f>+[48]PRESUPUESTO!$B$1</f>
        <v>CONSTRUCCION DE 14 METROS BOX CULVERT EN EL SECTOR BARRIO NUEVO DE SANTA RITA, CABECERA MUNICIPAL DE RIO IRÓ - DEPARTAMENTO DEL CHOCÓ</v>
      </c>
      <c r="B1479" s="462"/>
      <c r="C1479" s="462"/>
      <c r="D1479" s="462"/>
      <c r="E1479" s="462"/>
      <c r="F1479" s="462"/>
      <c r="G1479" s="462"/>
      <c r="H1479" s="462"/>
      <c r="I1479" s="462"/>
      <c r="J1479" s="462"/>
    </row>
    <row r="1480" spans="1:10" ht="29.45" customHeight="1" x14ac:dyDescent="0.25">
      <c r="A1480" s="463"/>
      <c r="B1480" s="463"/>
      <c r="C1480" s="463"/>
      <c r="D1480" s="463"/>
      <c r="E1480" s="463"/>
      <c r="F1480" s="463"/>
      <c r="G1480" s="463"/>
      <c r="H1480" s="463"/>
      <c r="I1480" s="462"/>
      <c r="J1480" s="462"/>
    </row>
    <row r="1481" spans="1:10" ht="12.2" customHeight="1" x14ac:dyDescent="0.25">
      <c r="A1481" s="256" t="s">
        <v>78</v>
      </c>
      <c r="B1481" s="455" t="s">
        <v>79</v>
      </c>
      <c r="C1481" s="455"/>
      <c r="D1481" s="455"/>
      <c r="E1481" s="455"/>
      <c r="F1481" s="455"/>
      <c r="G1481" s="455"/>
      <c r="H1481" s="455"/>
      <c r="I1481" s="257" t="s">
        <v>80</v>
      </c>
      <c r="J1481" s="258" t="s">
        <v>81</v>
      </c>
    </row>
    <row r="1482" spans="1:10" ht="21.2" customHeight="1" x14ac:dyDescent="0.25">
      <c r="A1482" s="203">
        <v>9.0299999999999994</v>
      </c>
      <c r="B1482" s="456" t="e">
        <f>+VLOOKUP(A1482,[48]PRESUPUESTO!$B$2:$D$19,2,FALSE)</f>
        <v>#N/A</v>
      </c>
      <c r="C1482" s="457"/>
      <c r="D1482" s="457"/>
      <c r="E1482" s="457"/>
      <c r="F1482" s="457"/>
      <c r="G1482" s="457"/>
      <c r="H1482" s="458"/>
      <c r="I1482" s="204" t="e">
        <f>+VLOOKUP(A1482,[48]PRESUPUESTO!$B$2:$D$19,3,FALSE)</f>
        <v>#N/A</v>
      </c>
      <c r="J1482" s="237">
        <f>+ROUND(SUM(J1490:J1517),0)</f>
        <v>1664689</v>
      </c>
    </row>
    <row r="1483" spans="1:10" x14ac:dyDescent="0.25">
      <c r="A1483" s="459" t="s">
        <v>87</v>
      </c>
      <c r="B1483" s="459"/>
      <c r="C1483" s="459"/>
      <c r="D1483" s="459"/>
      <c r="E1483" s="459"/>
      <c r="F1483" s="459"/>
      <c r="G1483" s="459"/>
      <c r="H1483" s="459"/>
      <c r="I1483" s="442"/>
      <c r="J1483" s="442"/>
    </row>
    <row r="1484" spans="1:10" x14ac:dyDescent="0.25">
      <c r="A1484" s="460" t="s">
        <v>2</v>
      </c>
      <c r="B1484" s="460"/>
      <c r="C1484" s="460"/>
      <c r="D1484" s="460"/>
      <c r="E1484" s="460"/>
      <c r="F1484" s="223" t="s">
        <v>89</v>
      </c>
      <c r="G1484" s="234" t="s">
        <v>90</v>
      </c>
      <c r="H1484" s="223" t="s">
        <v>91</v>
      </c>
      <c r="I1484" s="223" t="s">
        <v>92</v>
      </c>
      <c r="J1484" s="213"/>
    </row>
    <row r="1485" spans="1:10" x14ac:dyDescent="0.25">
      <c r="A1485" s="451" t="s">
        <v>95</v>
      </c>
      <c r="B1485" s="451"/>
      <c r="C1485" s="451"/>
      <c r="D1485" s="451"/>
      <c r="E1485" s="451"/>
      <c r="F1485" s="214"/>
      <c r="G1485" s="215">
        <v>0.05</v>
      </c>
      <c r="H1485" s="216"/>
      <c r="I1485" s="217">
        <f>+J1517*G1485</f>
        <v>5611.9179055005889</v>
      </c>
      <c r="J1485" s="213"/>
    </row>
    <row r="1486" spans="1:10" x14ac:dyDescent="0.25">
      <c r="A1486" s="461" t="s">
        <v>134</v>
      </c>
      <c r="B1486" s="461"/>
      <c r="C1486" s="461"/>
      <c r="D1486" s="461"/>
      <c r="E1486" s="461"/>
      <c r="F1486" s="224" t="str">
        <f>+IF(A1486="","",VLOOKUP(A1486,[46]MATERIALES!$B$7:$D$1222,2,FALSE))</f>
        <v>DIA</v>
      </c>
      <c r="G1486" s="225">
        <f>+IF(A1486="","",VLOOKUP(A1486,[46]MATERIALES!$B$7:$E$1222,3,FALSE))</f>
        <v>50000</v>
      </c>
      <c r="H1486" s="238">
        <f>IF(A1486="","",1/H1513)</f>
        <v>0.25</v>
      </c>
      <c r="I1486" s="217">
        <f t="shared" ref="I1486:I1489" si="143">IFERROR(G1486*H1486,"")</f>
        <v>12500</v>
      </c>
      <c r="J1486" s="213"/>
    </row>
    <row r="1487" spans="1:10" x14ac:dyDescent="0.25">
      <c r="A1487" s="451"/>
      <c r="B1487" s="451"/>
      <c r="C1487" s="451"/>
      <c r="D1487" s="451"/>
      <c r="E1487" s="451"/>
      <c r="F1487" s="224" t="str">
        <f>+IF(A1487="","",VLOOKUP(A1487,[46]MATERIALES!$B$7:$D$1222,2,FALSE))</f>
        <v/>
      </c>
      <c r="G1487" s="225" t="str">
        <f>+IF(A1487="","",VLOOKUP(A1487,[46]MATERIALES!$B$7:$E$1222,3,FALSE))</f>
        <v/>
      </c>
      <c r="H1487" s="238" t="str">
        <f>IF(A1487="","",2/H1513)</f>
        <v/>
      </c>
      <c r="I1487" s="217" t="str">
        <f t="shared" si="143"/>
        <v/>
      </c>
      <c r="J1487" s="213"/>
    </row>
    <row r="1488" spans="1:10" x14ac:dyDescent="0.25">
      <c r="A1488" s="451"/>
      <c r="B1488" s="451"/>
      <c r="C1488" s="451"/>
      <c r="D1488" s="451"/>
      <c r="E1488" s="451"/>
      <c r="F1488" s="224" t="str">
        <f>+IF(A1488="","",VLOOKUP(A1488,[46]MATERIALES!$B$7:$D$1222,2,FALSE))</f>
        <v/>
      </c>
      <c r="G1488" s="225" t="str">
        <f>+IF(A1488="","",VLOOKUP(A1488,[46]MATERIALES!$B$7:$E$1222,3,FALSE))</f>
        <v/>
      </c>
      <c r="H1488" s="238" t="str">
        <f>IF(A1488="","",1/H1514)</f>
        <v/>
      </c>
      <c r="I1488" s="217" t="str">
        <f t="shared" si="143"/>
        <v/>
      </c>
      <c r="J1488" s="213"/>
    </row>
    <row r="1489" spans="1:10" x14ac:dyDescent="0.25">
      <c r="A1489" s="451"/>
      <c r="B1489" s="451"/>
      <c r="C1489" s="451"/>
      <c r="D1489" s="451"/>
      <c r="E1489" s="451"/>
      <c r="F1489" s="224" t="str">
        <f>+IF(A1489="","",VLOOKUP(A1489,[46]MATERIALES!$B$7:$D$1222,2,FALSE))</f>
        <v/>
      </c>
      <c r="G1489" s="225" t="str">
        <f>+IF(A1489="","",VLOOKUP(A1489,[46]MATERIALES!$B$7:$E$1222,3,FALSE))</f>
        <v/>
      </c>
      <c r="H1489" s="238"/>
      <c r="I1489" s="217" t="str">
        <f t="shared" si="143"/>
        <v/>
      </c>
      <c r="J1489" s="219"/>
    </row>
    <row r="1490" spans="1:10" x14ac:dyDescent="0.25">
      <c r="A1490" s="437" t="s">
        <v>100</v>
      </c>
      <c r="B1490" s="438"/>
      <c r="C1490" s="438"/>
      <c r="D1490" s="438"/>
      <c r="E1490" s="438"/>
      <c r="F1490" s="438"/>
      <c r="G1490" s="438"/>
      <c r="H1490" s="438"/>
      <c r="I1490" s="439"/>
      <c r="J1490" s="217">
        <f>+SUM(I1485:I1489)</f>
        <v>18111.917905500588</v>
      </c>
    </row>
    <row r="1491" spans="1:10" x14ac:dyDescent="0.25">
      <c r="A1491" s="442" t="s">
        <v>101</v>
      </c>
      <c r="B1491" s="442"/>
      <c r="C1491" s="442"/>
      <c r="D1491" s="442"/>
      <c r="E1491" s="442"/>
      <c r="F1491" s="442"/>
      <c r="G1491" s="442"/>
      <c r="H1491" s="442"/>
      <c r="I1491" s="442"/>
      <c r="J1491" s="442"/>
    </row>
    <row r="1492" spans="1:10" x14ac:dyDescent="0.25">
      <c r="A1492" s="452" t="s">
        <v>2</v>
      </c>
      <c r="B1492" s="453"/>
      <c r="C1492" s="453"/>
      <c r="D1492" s="454"/>
      <c r="E1492" s="223" t="s">
        <v>3</v>
      </c>
      <c r="F1492" s="223" t="s">
        <v>102</v>
      </c>
      <c r="G1492" s="223" t="s">
        <v>4</v>
      </c>
      <c r="H1492" s="223" t="s">
        <v>103</v>
      </c>
      <c r="I1492" s="223" t="s">
        <v>92</v>
      </c>
      <c r="J1492" s="213"/>
    </row>
    <row r="1493" spans="1:10" x14ac:dyDescent="0.25">
      <c r="A1493" s="448" t="s">
        <v>196</v>
      </c>
      <c r="B1493" s="449"/>
      <c r="C1493" s="449"/>
      <c r="D1493" s="449"/>
      <c r="E1493" s="224" t="str">
        <f>+IF(A1493="","",VLOOKUP(A1493,[46]MATERIALES!$B$7:$D$225,2,FALSE))</f>
        <v>m2</v>
      </c>
      <c r="F1493" s="225">
        <f>+IF(A1493="","",VLOOKUP(A1493,[46]MATERIALES!$B$7:$E$225,3,FALSE))</f>
        <v>1350000</v>
      </c>
      <c r="G1493" s="238">
        <v>1</v>
      </c>
      <c r="H1493" s="227">
        <v>0.05</v>
      </c>
      <c r="I1493" s="217">
        <f>IFERROR(F1493*G1493*(1+H1493),"")</f>
        <v>1417500</v>
      </c>
      <c r="J1493" s="213"/>
    </row>
    <row r="1494" spans="1:10" x14ac:dyDescent="0.25">
      <c r="A1494" s="448" t="s">
        <v>197</v>
      </c>
      <c r="B1494" s="449"/>
      <c r="C1494" s="449"/>
      <c r="D1494" s="449"/>
      <c r="E1494" s="224" t="str">
        <f>+IF(A1494="","",VLOOKUP(A1494,[46]MATERIALES!$B$7:$D$225,2,FALSE))</f>
        <v>UN</v>
      </c>
      <c r="F1494" s="225">
        <f>+IF(A1494="","",VLOOKUP(A1494,[46]MATERIALES!$B$7:$E$225,3,FALSE))</f>
        <v>24900</v>
      </c>
      <c r="G1494" s="238">
        <v>0.2</v>
      </c>
      <c r="H1494" s="227">
        <v>0.05</v>
      </c>
      <c r="I1494" s="217">
        <f t="shared" ref="I1494:I1501" si="144">IFERROR(F1494*G1494*(1+H1494),"")</f>
        <v>5229</v>
      </c>
      <c r="J1494" s="213"/>
    </row>
    <row r="1495" spans="1:10" x14ac:dyDescent="0.25">
      <c r="A1495" s="448"/>
      <c r="B1495" s="449"/>
      <c r="C1495" s="449"/>
      <c r="D1495" s="449"/>
      <c r="E1495" s="224"/>
      <c r="F1495" s="225"/>
      <c r="G1495" s="238"/>
      <c r="H1495" s="227"/>
      <c r="I1495" s="217">
        <f t="shared" si="144"/>
        <v>0</v>
      </c>
      <c r="J1495" s="213"/>
    </row>
    <row r="1496" spans="1:10" ht="13.35" customHeight="1" x14ac:dyDescent="0.25">
      <c r="A1496" s="448"/>
      <c r="B1496" s="449"/>
      <c r="C1496" s="449"/>
      <c r="D1496" s="449"/>
      <c r="E1496" s="224"/>
      <c r="F1496" s="225"/>
      <c r="G1496" s="226"/>
      <c r="H1496" s="227"/>
      <c r="I1496" s="217">
        <f t="shared" si="144"/>
        <v>0</v>
      </c>
      <c r="J1496" s="213"/>
    </row>
    <row r="1497" spans="1:10" x14ac:dyDescent="0.25">
      <c r="A1497" s="448"/>
      <c r="B1497" s="449"/>
      <c r="C1497" s="449"/>
      <c r="D1497" s="449"/>
      <c r="E1497" s="224"/>
      <c r="F1497" s="225"/>
      <c r="G1497" s="238"/>
      <c r="H1497" s="227"/>
      <c r="I1497" s="217">
        <f t="shared" si="144"/>
        <v>0</v>
      </c>
      <c r="J1497" s="213"/>
    </row>
    <row r="1498" spans="1:10" x14ac:dyDescent="0.25">
      <c r="A1498" s="448"/>
      <c r="B1498" s="449"/>
      <c r="C1498" s="449"/>
      <c r="D1498" s="449"/>
      <c r="E1498" s="224"/>
      <c r="F1498" s="225"/>
      <c r="G1498" s="226"/>
      <c r="H1498" s="227"/>
      <c r="I1498" s="217">
        <f t="shared" si="144"/>
        <v>0</v>
      </c>
      <c r="J1498" s="213"/>
    </row>
    <row r="1499" spans="1:10" x14ac:dyDescent="0.25">
      <c r="A1499" s="448"/>
      <c r="B1499" s="449"/>
      <c r="C1499" s="449"/>
      <c r="D1499" s="450"/>
      <c r="E1499" s="224"/>
      <c r="F1499" s="225"/>
      <c r="G1499" s="226"/>
      <c r="H1499" s="227"/>
      <c r="I1499" s="217">
        <f t="shared" si="144"/>
        <v>0</v>
      </c>
      <c r="J1499" s="213"/>
    </row>
    <row r="1500" spans="1:10" x14ac:dyDescent="0.25">
      <c r="A1500" s="448"/>
      <c r="B1500" s="449"/>
      <c r="C1500" s="449"/>
      <c r="D1500" s="449"/>
      <c r="E1500" s="224"/>
      <c r="F1500" s="225"/>
      <c r="G1500" s="226"/>
      <c r="H1500" s="227"/>
      <c r="I1500" s="217">
        <f t="shared" si="144"/>
        <v>0</v>
      </c>
      <c r="J1500" s="213"/>
    </row>
    <row r="1501" spans="1:10" x14ac:dyDescent="0.25">
      <c r="A1501" s="448"/>
      <c r="B1501" s="449"/>
      <c r="C1501" s="449"/>
      <c r="D1501" s="449"/>
      <c r="E1501" s="224"/>
      <c r="F1501" s="225"/>
      <c r="G1501" s="226"/>
      <c r="H1501" s="227"/>
      <c r="I1501" s="217">
        <f t="shared" si="144"/>
        <v>0</v>
      </c>
      <c r="J1501" s="213"/>
    </row>
    <row r="1502" spans="1:10" x14ac:dyDescent="0.25">
      <c r="A1502" s="444"/>
      <c r="B1502" s="445"/>
      <c r="C1502" s="445"/>
      <c r="D1502" s="445"/>
      <c r="E1502" s="213"/>
      <c r="F1502" s="214"/>
      <c r="G1502" s="218"/>
      <c r="H1502" s="227"/>
      <c r="I1502" s="217">
        <f>IFERROR(F1502*G1502*(1+H1502),"")</f>
        <v>0</v>
      </c>
      <c r="J1502" s="213"/>
    </row>
    <row r="1503" spans="1:10" x14ac:dyDescent="0.25">
      <c r="A1503" s="437" t="s">
        <v>100</v>
      </c>
      <c r="B1503" s="438"/>
      <c r="C1503" s="438"/>
      <c r="D1503" s="438"/>
      <c r="E1503" s="438"/>
      <c r="F1503" s="438"/>
      <c r="G1503" s="438"/>
      <c r="H1503" s="438"/>
      <c r="I1503" s="439"/>
      <c r="J1503" s="217">
        <f>SUM(I1493:I1502)</f>
        <v>1422729</v>
      </c>
    </row>
    <row r="1504" spans="1:10" x14ac:dyDescent="0.25">
      <c r="A1504" s="442" t="s">
        <v>106</v>
      </c>
      <c r="B1504" s="442"/>
      <c r="C1504" s="442"/>
      <c r="D1504" s="442"/>
      <c r="E1504" s="442"/>
      <c r="F1504" s="442"/>
      <c r="G1504" s="442"/>
      <c r="H1504" s="442"/>
      <c r="I1504" s="442"/>
      <c r="J1504" s="442"/>
    </row>
    <row r="1505" spans="1:10" ht="22.5" x14ac:dyDescent="0.25">
      <c r="A1505" s="443" t="s">
        <v>107</v>
      </c>
      <c r="B1505" s="443"/>
      <c r="C1505" s="443"/>
      <c r="D1505" s="443"/>
      <c r="E1505" s="223" t="s">
        <v>108</v>
      </c>
      <c r="F1505" s="230" t="s">
        <v>109</v>
      </c>
      <c r="G1505" s="223" t="s">
        <v>110</v>
      </c>
      <c r="H1505" s="223" t="s">
        <v>111</v>
      </c>
      <c r="I1505" s="223" t="s">
        <v>92</v>
      </c>
      <c r="J1505" s="213"/>
    </row>
    <row r="1506" spans="1:10" x14ac:dyDescent="0.25">
      <c r="A1506" s="447" t="s">
        <v>126</v>
      </c>
      <c r="B1506" s="447"/>
      <c r="C1506" s="447"/>
      <c r="D1506" s="447"/>
      <c r="E1506" s="216" t="str">
        <f>+IF(A1506="","",VLOOKUP(A1506,[46]MATERIALES!$B$7:$E$1222,2,FALSE))</f>
        <v>m3/km</v>
      </c>
      <c r="F1506" s="224">
        <v>0.15</v>
      </c>
      <c r="G1506" s="231">
        <f>+IF(A1506="","",VLOOKUP(A1506,[46]MATERIALES!$B$7:$E$1222,4,FALSE))</f>
        <v>413.59999999999997</v>
      </c>
      <c r="H1506" s="216">
        <f>+IF(A1506="","",VLOOKUP(A1506,[46]MATERIALES!$B$7:$E$1222,3,FALSE))</f>
        <v>1799</v>
      </c>
      <c r="I1506" s="217">
        <f>IFERROR(G1506*H1506*F1506,"")</f>
        <v>111609.95999999998</v>
      </c>
      <c r="J1506" s="213"/>
    </row>
    <row r="1507" spans="1:10" x14ac:dyDescent="0.25">
      <c r="A1507" s="447"/>
      <c r="B1507" s="447"/>
      <c r="C1507" s="447"/>
      <c r="D1507" s="447"/>
      <c r="E1507" s="216" t="str">
        <f>+IF(A1507="","",VLOOKUP(A1507,[46]MATERIALES!$B$7:$E$1222,2,FALSE))</f>
        <v/>
      </c>
      <c r="F1507" s="224"/>
      <c r="G1507" s="231" t="str">
        <f>+IF(A1507="","",VLOOKUP(A1507,[46]MATERIALES!$B$7:$E$1222,4,FALSE))</f>
        <v/>
      </c>
      <c r="H1507" s="216" t="str">
        <f>+IF(A1507="","",VLOOKUP(A1507,[46]MATERIALES!$B$7:$E$1222,3,FALSE))</f>
        <v/>
      </c>
      <c r="I1507" s="217" t="str">
        <f>IFERROR(G1507*H1507*F1507,"")</f>
        <v/>
      </c>
      <c r="J1507" s="213"/>
    </row>
    <row r="1508" spans="1:10" x14ac:dyDescent="0.25">
      <c r="A1508" s="447"/>
      <c r="B1508" s="447"/>
      <c r="C1508" s="447"/>
      <c r="D1508" s="447"/>
      <c r="E1508" s="213"/>
      <c r="F1508" s="214"/>
      <c r="G1508" s="233"/>
      <c r="H1508" s="216"/>
      <c r="I1508" s="219"/>
      <c r="J1508" s="213"/>
    </row>
    <row r="1509" spans="1:10" x14ac:dyDescent="0.25">
      <c r="A1509" s="447"/>
      <c r="B1509" s="447"/>
      <c r="C1509" s="447"/>
      <c r="D1509" s="447"/>
      <c r="E1509" s="213"/>
      <c r="F1509" s="213"/>
      <c r="G1509" s="213"/>
      <c r="H1509" s="211"/>
      <c r="I1509" s="213"/>
      <c r="J1509" s="213"/>
    </row>
    <row r="1510" spans="1:10" x14ac:dyDescent="0.25">
      <c r="A1510" s="437" t="s">
        <v>100</v>
      </c>
      <c r="B1510" s="438"/>
      <c r="C1510" s="438"/>
      <c r="D1510" s="438"/>
      <c r="E1510" s="438"/>
      <c r="F1510" s="438"/>
      <c r="G1510" s="438"/>
      <c r="H1510" s="438"/>
      <c r="I1510" s="439"/>
      <c r="J1510" s="217">
        <f>SUM(I1506:I1509)</f>
        <v>111609.95999999998</v>
      </c>
    </row>
    <row r="1511" spans="1:10" x14ac:dyDescent="0.25">
      <c r="A1511" s="442" t="s">
        <v>112</v>
      </c>
      <c r="B1511" s="442"/>
      <c r="C1511" s="442"/>
      <c r="D1511" s="442"/>
      <c r="E1511" s="442"/>
      <c r="F1511" s="442"/>
      <c r="G1511" s="442"/>
      <c r="H1511" s="442"/>
      <c r="I1511" s="442"/>
      <c r="J1511" s="442"/>
    </row>
    <row r="1512" spans="1:10" x14ac:dyDescent="0.25">
      <c r="A1512" s="443" t="s">
        <v>113</v>
      </c>
      <c r="B1512" s="443"/>
      <c r="C1512" s="443"/>
      <c r="D1512" s="443"/>
      <c r="E1512" s="223" t="s">
        <v>114</v>
      </c>
      <c r="F1512" s="223" t="s">
        <v>115</v>
      </c>
      <c r="G1512" s="234" t="s">
        <v>116</v>
      </c>
      <c r="H1512" s="223" t="s">
        <v>91</v>
      </c>
      <c r="I1512" s="223" t="s">
        <v>92</v>
      </c>
      <c r="J1512" s="213"/>
    </row>
    <row r="1513" spans="1:10" x14ac:dyDescent="0.25">
      <c r="A1513" s="444" t="s">
        <v>99</v>
      </c>
      <c r="B1513" s="445"/>
      <c r="C1513" s="446"/>
      <c r="D1513" s="211">
        <v>1</v>
      </c>
      <c r="E1513" s="235">
        <f>+IF(D1513="","",VLOOKUP(A1513,$L$4:$O$10,3,FALSE))</f>
        <v>142350</v>
      </c>
      <c r="F1513" s="236">
        <f>+IF(D1513="","",(VLOOKUP(A1513,$L$4:$O$10,4,FALSE))+1)</f>
        <v>1.5821008628015805</v>
      </c>
      <c r="G1513" s="219">
        <f>+IFERROR(F1513*E1513*D1513,"")</f>
        <v>225212.05781980499</v>
      </c>
      <c r="H1513" s="216">
        <v>4</v>
      </c>
      <c r="I1513" s="217">
        <f>IFERROR(G1513/H1513,"")</f>
        <v>56303.014454951248</v>
      </c>
      <c r="J1513" s="213"/>
    </row>
    <row r="1514" spans="1:10" ht="13.35" customHeight="1" x14ac:dyDescent="0.25">
      <c r="A1514" s="444" t="s">
        <v>93</v>
      </c>
      <c r="B1514" s="445"/>
      <c r="C1514" s="446"/>
      <c r="D1514" s="211">
        <v>1</v>
      </c>
      <c r="E1514" s="235">
        <f>+IF(D1514="","",VLOOKUP(A1514,$L$4:$O$10,3,FALSE))</f>
        <v>77842</v>
      </c>
      <c r="F1514" s="236">
        <f>+IF(D1514="","",(VLOOKUP(A1514,$L$4:$O$10,4,FALSE))+1)</f>
        <v>1.6752877632282406</v>
      </c>
      <c r="G1514" s="219">
        <f>+IFERROR(F1514*E1514*D1514,"")</f>
        <v>130407.75006521271</v>
      </c>
      <c r="H1514" s="216">
        <f>+H1513</f>
        <v>4</v>
      </c>
      <c r="I1514" s="217">
        <f t="shared" ref="I1514:I1515" si="145">IFERROR(G1514/H1514,"")</f>
        <v>32601.937516303176</v>
      </c>
      <c r="J1514" s="213"/>
    </row>
    <row r="1515" spans="1:10" ht="13.35" customHeight="1" x14ac:dyDescent="0.25">
      <c r="A1515" s="444" t="s">
        <v>86</v>
      </c>
      <c r="B1515" s="445"/>
      <c r="C1515" s="446"/>
      <c r="D1515" s="211">
        <v>1</v>
      </c>
      <c r="E1515" s="235">
        <f>+IF(D1515="","",VLOOKUP(A1515,$L$4:$O$10,3,FALSE))</f>
        <v>54117</v>
      </c>
      <c r="F1515" s="236">
        <f>+IF(D1515="","",(VLOOKUP(A1515,$L$4:$O$10,4,FALSE))+1)</f>
        <v>1.7246636834087141</v>
      </c>
      <c r="G1515" s="219">
        <f>+IFERROR(F1515*E1515*D1515,"")</f>
        <v>93333.624555029382</v>
      </c>
      <c r="H1515" s="216">
        <f>+IF(D1515="","",IFERROR(H1514,""))</f>
        <v>4</v>
      </c>
      <c r="I1515" s="217">
        <f t="shared" si="145"/>
        <v>23333.406138757346</v>
      </c>
      <c r="J1515" s="213"/>
    </row>
    <row r="1516" spans="1:10" x14ac:dyDescent="0.25">
      <c r="A1516" s="444"/>
      <c r="B1516" s="445"/>
      <c r="C1516" s="446"/>
      <c r="D1516" s="213"/>
      <c r="E1516" s="213"/>
      <c r="F1516" s="213"/>
      <c r="G1516" s="213"/>
      <c r="H1516" s="211"/>
      <c r="I1516" s="217"/>
      <c r="J1516" s="213"/>
    </row>
    <row r="1517" spans="1:10" ht="14.45" customHeight="1" x14ac:dyDescent="0.25">
      <c r="A1517" s="437" t="s">
        <v>100</v>
      </c>
      <c r="B1517" s="438"/>
      <c r="C1517" s="438"/>
      <c r="D1517" s="438"/>
      <c r="E1517" s="438"/>
      <c r="F1517" s="438"/>
      <c r="G1517" s="438"/>
      <c r="H1517" s="438"/>
      <c r="I1517" s="439"/>
      <c r="J1517" s="217">
        <f>SUM(I1513:I1516)</f>
        <v>112238.35811001177</v>
      </c>
    </row>
    <row r="1518" spans="1:10" x14ac:dyDescent="0.25">
      <c r="A1518" s="440"/>
      <c r="B1518" s="440"/>
      <c r="C1518" s="440"/>
      <c r="D1518" s="440"/>
      <c r="E1518" s="440"/>
      <c r="F1518" s="440"/>
      <c r="G1518" s="440"/>
      <c r="H1518" s="440"/>
      <c r="I1518" s="440"/>
      <c r="J1518" s="440"/>
    </row>
    <row r="1519" spans="1:10" x14ac:dyDescent="0.25">
      <c r="A1519" s="441"/>
      <c r="B1519" s="441"/>
      <c r="C1519" s="441"/>
      <c r="D1519" s="441"/>
      <c r="E1519" s="441"/>
      <c r="F1519" s="441"/>
      <c r="G1519" s="441"/>
      <c r="H1519" s="441"/>
      <c r="I1519" s="441"/>
      <c r="J1519" s="441"/>
    </row>
  </sheetData>
  <mergeCells count="1478">
    <mergeCell ref="A14:D14"/>
    <mergeCell ref="A15:D15"/>
    <mergeCell ref="A16:D16"/>
    <mergeCell ref="A17:D17"/>
    <mergeCell ref="A18:D18"/>
    <mergeCell ref="A19:I19"/>
    <mergeCell ref="A8:E8"/>
    <mergeCell ref="A9:E9"/>
    <mergeCell ref="A10:E10"/>
    <mergeCell ref="A11:E11"/>
    <mergeCell ref="A12:I12"/>
    <mergeCell ref="A13:J13"/>
    <mergeCell ref="A1:J2"/>
    <mergeCell ref="B3:H3"/>
    <mergeCell ref="B4:H4"/>
    <mergeCell ref="A5:J5"/>
    <mergeCell ref="A6:E6"/>
    <mergeCell ref="A7:E7"/>
    <mergeCell ref="A32:C32"/>
    <mergeCell ref="A33:I33"/>
    <mergeCell ref="A34:J35"/>
    <mergeCell ref="B36:H36"/>
    <mergeCell ref="B37:H37"/>
    <mergeCell ref="A38:J38"/>
    <mergeCell ref="A26:D26"/>
    <mergeCell ref="A27:J27"/>
    <mergeCell ref="A28:D28"/>
    <mergeCell ref="A29:C29"/>
    <mergeCell ref="A30:C30"/>
    <mergeCell ref="A31:C31"/>
    <mergeCell ref="A20:J20"/>
    <mergeCell ref="A21:D21"/>
    <mergeCell ref="A22:D22"/>
    <mergeCell ref="A23:D23"/>
    <mergeCell ref="A24:D24"/>
    <mergeCell ref="A25:D25"/>
    <mergeCell ref="A51:D51"/>
    <mergeCell ref="A52:D52"/>
    <mergeCell ref="A53:I53"/>
    <mergeCell ref="A54:J54"/>
    <mergeCell ref="A55:D55"/>
    <mergeCell ref="A56:D56"/>
    <mergeCell ref="A45:I45"/>
    <mergeCell ref="A46:J46"/>
    <mergeCell ref="A47:D47"/>
    <mergeCell ref="A48:D48"/>
    <mergeCell ref="A49:D49"/>
    <mergeCell ref="A50:D50"/>
    <mergeCell ref="A39:E39"/>
    <mergeCell ref="A40:E40"/>
    <mergeCell ref="A41:E41"/>
    <mergeCell ref="A42:E42"/>
    <mergeCell ref="A43:E43"/>
    <mergeCell ref="A44:E44"/>
    <mergeCell ref="B70:H70"/>
    <mergeCell ref="B71:H71"/>
    <mergeCell ref="A72:J72"/>
    <mergeCell ref="A73:E73"/>
    <mergeCell ref="A74:E74"/>
    <mergeCell ref="A75:E75"/>
    <mergeCell ref="A63:C63"/>
    <mergeCell ref="A64:C64"/>
    <mergeCell ref="A65:C65"/>
    <mergeCell ref="A66:C66"/>
    <mergeCell ref="A67:I67"/>
    <mergeCell ref="A68:J69"/>
    <mergeCell ref="A57:D57"/>
    <mergeCell ref="A58:D58"/>
    <mergeCell ref="A59:D59"/>
    <mergeCell ref="A60:I60"/>
    <mergeCell ref="A61:J61"/>
    <mergeCell ref="A62:D62"/>
    <mergeCell ref="A88:J88"/>
    <mergeCell ref="A89:D89"/>
    <mergeCell ref="A90:D90"/>
    <mergeCell ref="A91:D91"/>
    <mergeCell ref="A92:D92"/>
    <mergeCell ref="A93:D93"/>
    <mergeCell ref="A82:D82"/>
    <mergeCell ref="A83:D83"/>
    <mergeCell ref="A84:D84"/>
    <mergeCell ref="A85:D85"/>
    <mergeCell ref="A86:D86"/>
    <mergeCell ref="A87:I87"/>
    <mergeCell ref="A76:E76"/>
    <mergeCell ref="A77:E77"/>
    <mergeCell ref="A78:E78"/>
    <mergeCell ref="A79:I79"/>
    <mergeCell ref="A80:J80"/>
    <mergeCell ref="A81:D81"/>
    <mergeCell ref="A107:E107"/>
    <mergeCell ref="A108:E108"/>
    <mergeCell ref="A109:E109"/>
    <mergeCell ref="A110:E110"/>
    <mergeCell ref="A111:E111"/>
    <mergeCell ref="A112:E112"/>
    <mergeCell ref="A100:C100"/>
    <mergeCell ref="A101:I101"/>
    <mergeCell ref="A102:J103"/>
    <mergeCell ref="B104:H104"/>
    <mergeCell ref="B105:H105"/>
    <mergeCell ref="A106:J106"/>
    <mergeCell ref="A94:I94"/>
    <mergeCell ref="A95:J95"/>
    <mergeCell ref="A96:D96"/>
    <mergeCell ref="A97:C97"/>
    <mergeCell ref="A98:C98"/>
    <mergeCell ref="A99:C99"/>
    <mergeCell ref="A125:D125"/>
    <mergeCell ref="A126:D126"/>
    <mergeCell ref="A127:D127"/>
    <mergeCell ref="A128:I128"/>
    <mergeCell ref="A129:J129"/>
    <mergeCell ref="A130:D130"/>
    <mergeCell ref="A119:D119"/>
    <mergeCell ref="A120:D120"/>
    <mergeCell ref="A121:I121"/>
    <mergeCell ref="A122:J122"/>
    <mergeCell ref="A123:D123"/>
    <mergeCell ref="A124:D124"/>
    <mergeCell ref="A113:I113"/>
    <mergeCell ref="A114:J114"/>
    <mergeCell ref="A115:D115"/>
    <mergeCell ref="A116:D116"/>
    <mergeCell ref="A117:D117"/>
    <mergeCell ref="A118:D118"/>
    <mergeCell ref="A144:E144"/>
    <mergeCell ref="A145:E145"/>
    <mergeCell ref="A146:E146"/>
    <mergeCell ref="A147:I147"/>
    <mergeCell ref="A148:J148"/>
    <mergeCell ref="A149:D149"/>
    <mergeCell ref="B138:H138"/>
    <mergeCell ref="B139:H139"/>
    <mergeCell ref="A140:J140"/>
    <mergeCell ref="A141:E141"/>
    <mergeCell ref="A142:E142"/>
    <mergeCell ref="A143:E143"/>
    <mergeCell ref="A131:C131"/>
    <mergeCell ref="A132:C132"/>
    <mergeCell ref="A133:C133"/>
    <mergeCell ref="A134:C134"/>
    <mergeCell ref="A135:I135"/>
    <mergeCell ref="A136:J137"/>
    <mergeCell ref="A162:I162"/>
    <mergeCell ref="A163:J163"/>
    <mergeCell ref="A164:D164"/>
    <mergeCell ref="A165:C165"/>
    <mergeCell ref="A166:C166"/>
    <mergeCell ref="A167:C167"/>
    <mergeCell ref="A156:J156"/>
    <mergeCell ref="A157:D157"/>
    <mergeCell ref="A158:D158"/>
    <mergeCell ref="A159:D159"/>
    <mergeCell ref="A160:D160"/>
    <mergeCell ref="A161:D161"/>
    <mergeCell ref="A150:D150"/>
    <mergeCell ref="A151:D151"/>
    <mergeCell ref="A152:D152"/>
    <mergeCell ref="A153:D153"/>
    <mergeCell ref="A154:D154"/>
    <mergeCell ref="A155:I155"/>
    <mergeCell ref="A181:I181"/>
    <mergeCell ref="A182:J182"/>
    <mergeCell ref="A183:D183"/>
    <mergeCell ref="A184:D184"/>
    <mergeCell ref="A185:D185"/>
    <mergeCell ref="A186:D186"/>
    <mergeCell ref="A175:E175"/>
    <mergeCell ref="A176:E176"/>
    <mergeCell ref="A177:E177"/>
    <mergeCell ref="A178:E178"/>
    <mergeCell ref="A179:E179"/>
    <mergeCell ref="A180:E180"/>
    <mergeCell ref="A168:C168"/>
    <mergeCell ref="A169:I169"/>
    <mergeCell ref="A170:J171"/>
    <mergeCell ref="B172:H172"/>
    <mergeCell ref="B173:H173"/>
    <mergeCell ref="A174:J174"/>
    <mergeCell ref="A199:D199"/>
    <mergeCell ref="A200:C200"/>
    <mergeCell ref="A201:C201"/>
    <mergeCell ref="A202:C202"/>
    <mergeCell ref="A203:C203"/>
    <mergeCell ref="A204:I204"/>
    <mergeCell ref="A193:D193"/>
    <mergeCell ref="A194:D194"/>
    <mergeCell ref="A195:D195"/>
    <mergeCell ref="A196:D196"/>
    <mergeCell ref="A197:I197"/>
    <mergeCell ref="A198:J198"/>
    <mergeCell ref="A187:D187"/>
    <mergeCell ref="A188:D188"/>
    <mergeCell ref="A189:D189"/>
    <mergeCell ref="A190:I190"/>
    <mergeCell ref="A191:J191"/>
    <mergeCell ref="A192:D192"/>
    <mergeCell ref="A218:D218"/>
    <mergeCell ref="A219:D219"/>
    <mergeCell ref="A220:D220"/>
    <mergeCell ref="A221:D221"/>
    <mergeCell ref="A222:D222"/>
    <mergeCell ref="A223:D223"/>
    <mergeCell ref="A212:E212"/>
    <mergeCell ref="A213:E213"/>
    <mergeCell ref="A214:E214"/>
    <mergeCell ref="A215:E215"/>
    <mergeCell ref="A216:I216"/>
    <mergeCell ref="A217:J217"/>
    <mergeCell ref="A205:J206"/>
    <mergeCell ref="B207:H207"/>
    <mergeCell ref="B208:H208"/>
    <mergeCell ref="A209:J209"/>
    <mergeCell ref="A210:E210"/>
    <mergeCell ref="A211:E211"/>
    <mergeCell ref="A236:C236"/>
    <mergeCell ref="A237:C237"/>
    <mergeCell ref="A238:C238"/>
    <mergeCell ref="A239:I239"/>
    <mergeCell ref="A240:J241"/>
    <mergeCell ref="B242:H242"/>
    <mergeCell ref="A230:D230"/>
    <mergeCell ref="A231:D231"/>
    <mergeCell ref="A232:I232"/>
    <mergeCell ref="A233:J233"/>
    <mergeCell ref="A234:D234"/>
    <mergeCell ref="A235:C235"/>
    <mergeCell ref="A224:D224"/>
    <mergeCell ref="A225:I225"/>
    <mergeCell ref="A226:J226"/>
    <mergeCell ref="A227:D227"/>
    <mergeCell ref="A228:D228"/>
    <mergeCell ref="A229:D229"/>
    <mergeCell ref="A255:D255"/>
    <mergeCell ref="A256:D256"/>
    <mergeCell ref="A257:D257"/>
    <mergeCell ref="A258:D258"/>
    <mergeCell ref="A259:D259"/>
    <mergeCell ref="A260:D260"/>
    <mergeCell ref="A249:E249"/>
    <mergeCell ref="A250:E250"/>
    <mergeCell ref="A251:I251"/>
    <mergeCell ref="A252:J252"/>
    <mergeCell ref="A253:D253"/>
    <mergeCell ref="A254:D254"/>
    <mergeCell ref="B243:H243"/>
    <mergeCell ref="A244:J244"/>
    <mergeCell ref="A245:E245"/>
    <mergeCell ref="A246:E246"/>
    <mergeCell ref="A247:E247"/>
    <mergeCell ref="A248:E248"/>
    <mergeCell ref="A273:C273"/>
    <mergeCell ref="A274:C274"/>
    <mergeCell ref="A275:I275"/>
    <mergeCell ref="A276:J277"/>
    <mergeCell ref="B278:H278"/>
    <mergeCell ref="B279:H279"/>
    <mergeCell ref="A267:D267"/>
    <mergeCell ref="A268:I268"/>
    <mergeCell ref="A269:J269"/>
    <mergeCell ref="A270:D270"/>
    <mergeCell ref="A271:C271"/>
    <mergeCell ref="A272:C272"/>
    <mergeCell ref="A261:I261"/>
    <mergeCell ref="A262:J262"/>
    <mergeCell ref="A263:D263"/>
    <mergeCell ref="A264:D264"/>
    <mergeCell ref="A265:D265"/>
    <mergeCell ref="A266:D266"/>
    <mergeCell ref="A292:D292"/>
    <mergeCell ref="A293:D293"/>
    <mergeCell ref="A294:D294"/>
    <mergeCell ref="A295:D295"/>
    <mergeCell ref="A296:D296"/>
    <mergeCell ref="A297:D297"/>
    <mergeCell ref="A286:E286"/>
    <mergeCell ref="A287:I287"/>
    <mergeCell ref="A288:J288"/>
    <mergeCell ref="A289:D289"/>
    <mergeCell ref="A290:D290"/>
    <mergeCell ref="A291:D291"/>
    <mergeCell ref="A280:J280"/>
    <mergeCell ref="A281:E281"/>
    <mergeCell ref="A282:E282"/>
    <mergeCell ref="A283:E283"/>
    <mergeCell ref="A284:E284"/>
    <mergeCell ref="A285:E285"/>
    <mergeCell ref="A310:C310"/>
    <mergeCell ref="A311:C311"/>
    <mergeCell ref="A312:C312"/>
    <mergeCell ref="A313:I313"/>
    <mergeCell ref="A314:J315"/>
    <mergeCell ref="B316:H316"/>
    <mergeCell ref="A304:D304"/>
    <mergeCell ref="A305:D305"/>
    <mergeCell ref="A306:I306"/>
    <mergeCell ref="A307:J307"/>
    <mergeCell ref="A308:D308"/>
    <mergeCell ref="A309:C309"/>
    <mergeCell ref="A298:D298"/>
    <mergeCell ref="A299:I299"/>
    <mergeCell ref="A300:J300"/>
    <mergeCell ref="A301:D301"/>
    <mergeCell ref="A302:D302"/>
    <mergeCell ref="A303:D303"/>
    <mergeCell ref="A329:D329"/>
    <mergeCell ref="A330:D330"/>
    <mergeCell ref="A331:D331"/>
    <mergeCell ref="A332:D332"/>
    <mergeCell ref="A333:D333"/>
    <mergeCell ref="A334:I334"/>
    <mergeCell ref="A323:E323"/>
    <mergeCell ref="A324:E324"/>
    <mergeCell ref="A325:I325"/>
    <mergeCell ref="A326:J326"/>
    <mergeCell ref="A327:D327"/>
    <mergeCell ref="A328:D328"/>
    <mergeCell ref="B317:H317"/>
    <mergeCell ref="A318:J318"/>
    <mergeCell ref="A319:E319"/>
    <mergeCell ref="A320:E320"/>
    <mergeCell ref="A321:E321"/>
    <mergeCell ref="A322:E322"/>
    <mergeCell ref="A347:C347"/>
    <mergeCell ref="A348:I348"/>
    <mergeCell ref="A349:J350"/>
    <mergeCell ref="B351:H351"/>
    <mergeCell ref="B352:H352"/>
    <mergeCell ref="A353:J353"/>
    <mergeCell ref="A341:I341"/>
    <mergeCell ref="A342:J342"/>
    <mergeCell ref="A343:D343"/>
    <mergeCell ref="A344:C344"/>
    <mergeCell ref="A345:C345"/>
    <mergeCell ref="A346:C346"/>
    <mergeCell ref="A335:J335"/>
    <mergeCell ref="A336:D336"/>
    <mergeCell ref="A337:D337"/>
    <mergeCell ref="A338:D338"/>
    <mergeCell ref="A339:D339"/>
    <mergeCell ref="A340:D340"/>
    <mergeCell ref="A366:D366"/>
    <mergeCell ref="A367:D367"/>
    <mergeCell ref="A368:D368"/>
    <mergeCell ref="A369:D369"/>
    <mergeCell ref="A370:D370"/>
    <mergeCell ref="A371:D371"/>
    <mergeCell ref="A360:I360"/>
    <mergeCell ref="A361:J361"/>
    <mergeCell ref="A362:D362"/>
    <mergeCell ref="A363:D363"/>
    <mergeCell ref="A364:D364"/>
    <mergeCell ref="A365:D365"/>
    <mergeCell ref="A354:E354"/>
    <mergeCell ref="A355:E355"/>
    <mergeCell ref="A356:E356"/>
    <mergeCell ref="A357:E357"/>
    <mergeCell ref="A358:E358"/>
    <mergeCell ref="A359:E359"/>
    <mergeCell ref="A384:C384"/>
    <mergeCell ref="A385:C385"/>
    <mergeCell ref="A386:I386"/>
    <mergeCell ref="A387:J388"/>
    <mergeCell ref="B389:H389"/>
    <mergeCell ref="B390:H390"/>
    <mergeCell ref="A378:D378"/>
    <mergeCell ref="A379:I379"/>
    <mergeCell ref="A380:J380"/>
    <mergeCell ref="A381:D381"/>
    <mergeCell ref="A382:C382"/>
    <mergeCell ref="A383:C383"/>
    <mergeCell ref="A372:I372"/>
    <mergeCell ref="A373:J373"/>
    <mergeCell ref="A374:D374"/>
    <mergeCell ref="A375:D375"/>
    <mergeCell ref="A376:D376"/>
    <mergeCell ref="A377:D377"/>
    <mergeCell ref="A403:D403"/>
    <mergeCell ref="A404:D404"/>
    <mergeCell ref="A405:D405"/>
    <mergeCell ref="A406:D406"/>
    <mergeCell ref="A407:D407"/>
    <mergeCell ref="A408:D408"/>
    <mergeCell ref="A397:E397"/>
    <mergeCell ref="A398:I398"/>
    <mergeCell ref="A399:J399"/>
    <mergeCell ref="A400:D400"/>
    <mergeCell ref="A401:D401"/>
    <mergeCell ref="A402:D402"/>
    <mergeCell ref="A391:J391"/>
    <mergeCell ref="A392:E392"/>
    <mergeCell ref="A393:E393"/>
    <mergeCell ref="A394:E394"/>
    <mergeCell ref="A395:E395"/>
    <mergeCell ref="A396:E396"/>
    <mergeCell ref="A421:D421"/>
    <mergeCell ref="A422:C422"/>
    <mergeCell ref="A423:C423"/>
    <mergeCell ref="A424:C424"/>
    <mergeCell ref="A425:C425"/>
    <mergeCell ref="A426:I426"/>
    <mergeCell ref="A415:D415"/>
    <mergeCell ref="A416:D416"/>
    <mergeCell ref="A417:D417"/>
    <mergeCell ref="A418:D418"/>
    <mergeCell ref="A419:I419"/>
    <mergeCell ref="A420:J420"/>
    <mergeCell ref="A409:D409"/>
    <mergeCell ref="A410:D410"/>
    <mergeCell ref="A411:D411"/>
    <mergeCell ref="A412:I412"/>
    <mergeCell ref="A413:J413"/>
    <mergeCell ref="A414:D414"/>
    <mergeCell ref="A440:D440"/>
    <mergeCell ref="A441:D441"/>
    <mergeCell ref="A442:D442"/>
    <mergeCell ref="A443:D443"/>
    <mergeCell ref="A444:D444"/>
    <mergeCell ref="A445:D445"/>
    <mergeCell ref="A434:E434"/>
    <mergeCell ref="A435:E435"/>
    <mergeCell ref="A436:E436"/>
    <mergeCell ref="A437:E437"/>
    <mergeCell ref="A438:I438"/>
    <mergeCell ref="A439:J439"/>
    <mergeCell ref="A427:J428"/>
    <mergeCell ref="B429:H429"/>
    <mergeCell ref="B430:H430"/>
    <mergeCell ref="A431:J431"/>
    <mergeCell ref="A432:E432"/>
    <mergeCell ref="A433:E433"/>
    <mergeCell ref="A458:C458"/>
    <mergeCell ref="A459:C459"/>
    <mergeCell ref="A460:I460"/>
    <mergeCell ref="A461:J462"/>
    <mergeCell ref="B463:H463"/>
    <mergeCell ref="B464:H464"/>
    <mergeCell ref="A452:D452"/>
    <mergeCell ref="A453:I453"/>
    <mergeCell ref="A454:J454"/>
    <mergeCell ref="A455:D455"/>
    <mergeCell ref="A456:C456"/>
    <mergeCell ref="A457:C457"/>
    <mergeCell ref="A446:I446"/>
    <mergeCell ref="A447:J447"/>
    <mergeCell ref="A448:D448"/>
    <mergeCell ref="A449:D449"/>
    <mergeCell ref="A450:D450"/>
    <mergeCell ref="A451:D451"/>
    <mergeCell ref="A477:D477"/>
    <mergeCell ref="A478:D478"/>
    <mergeCell ref="A479:D479"/>
    <mergeCell ref="A480:D480"/>
    <mergeCell ref="A481:D481"/>
    <mergeCell ref="A482:D482"/>
    <mergeCell ref="A471:E471"/>
    <mergeCell ref="A472:I472"/>
    <mergeCell ref="A473:J473"/>
    <mergeCell ref="A474:D474"/>
    <mergeCell ref="A475:D475"/>
    <mergeCell ref="A476:D476"/>
    <mergeCell ref="A465:J465"/>
    <mergeCell ref="A466:E466"/>
    <mergeCell ref="A467:E467"/>
    <mergeCell ref="A468:E468"/>
    <mergeCell ref="A469:E469"/>
    <mergeCell ref="A470:E470"/>
    <mergeCell ref="A495:I495"/>
    <mergeCell ref="A496:J496"/>
    <mergeCell ref="A497:D497"/>
    <mergeCell ref="A498:C498"/>
    <mergeCell ref="A499:C499"/>
    <mergeCell ref="A500:C500"/>
    <mergeCell ref="A489:J489"/>
    <mergeCell ref="A490:D490"/>
    <mergeCell ref="A491:D491"/>
    <mergeCell ref="A492:D492"/>
    <mergeCell ref="A493:D493"/>
    <mergeCell ref="A494:D494"/>
    <mergeCell ref="A483:D483"/>
    <mergeCell ref="A484:D484"/>
    <mergeCell ref="A485:D485"/>
    <mergeCell ref="A486:D486"/>
    <mergeCell ref="A487:D487"/>
    <mergeCell ref="A488:I488"/>
    <mergeCell ref="A514:D514"/>
    <mergeCell ref="A515:D515"/>
    <mergeCell ref="A516:D516"/>
    <mergeCell ref="A517:D517"/>
    <mergeCell ref="A518:D518"/>
    <mergeCell ref="A519:D519"/>
    <mergeCell ref="A508:E508"/>
    <mergeCell ref="A509:E509"/>
    <mergeCell ref="A510:E510"/>
    <mergeCell ref="A511:I511"/>
    <mergeCell ref="A512:J512"/>
    <mergeCell ref="A513:D513"/>
    <mergeCell ref="A501:I501"/>
    <mergeCell ref="A502:J503"/>
    <mergeCell ref="B504:H504"/>
    <mergeCell ref="B505:H505"/>
    <mergeCell ref="A506:J506"/>
    <mergeCell ref="A507:E507"/>
    <mergeCell ref="A532:D532"/>
    <mergeCell ref="A533:I533"/>
    <mergeCell ref="A534:J534"/>
    <mergeCell ref="A535:D535"/>
    <mergeCell ref="A536:C536"/>
    <mergeCell ref="A537:C537"/>
    <mergeCell ref="A526:I526"/>
    <mergeCell ref="A527:J527"/>
    <mergeCell ref="A528:D528"/>
    <mergeCell ref="A529:D529"/>
    <mergeCell ref="A530:D530"/>
    <mergeCell ref="A531:D531"/>
    <mergeCell ref="A520:D520"/>
    <mergeCell ref="A521:D521"/>
    <mergeCell ref="A522:D522"/>
    <mergeCell ref="A523:D523"/>
    <mergeCell ref="A524:D524"/>
    <mergeCell ref="A525:D525"/>
    <mergeCell ref="A551:J551"/>
    <mergeCell ref="A552:D552"/>
    <mergeCell ref="A553:D553"/>
    <mergeCell ref="A554:D554"/>
    <mergeCell ref="A555:D555"/>
    <mergeCell ref="A556:D556"/>
    <mergeCell ref="A545:J545"/>
    <mergeCell ref="A546:E546"/>
    <mergeCell ref="A547:E547"/>
    <mergeCell ref="A548:E548"/>
    <mergeCell ref="A549:E549"/>
    <mergeCell ref="A550:I550"/>
    <mergeCell ref="A538:C538"/>
    <mergeCell ref="A539:C539"/>
    <mergeCell ref="A540:I540"/>
    <mergeCell ref="A541:J542"/>
    <mergeCell ref="B543:H543"/>
    <mergeCell ref="B544:H544"/>
    <mergeCell ref="A569:D569"/>
    <mergeCell ref="A570:D570"/>
    <mergeCell ref="A571:D571"/>
    <mergeCell ref="A572:I572"/>
    <mergeCell ref="A573:J573"/>
    <mergeCell ref="A574:D574"/>
    <mergeCell ref="A563:D563"/>
    <mergeCell ref="A564:D564"/>
    <mergeCell ref="A565:I565"/>
    <mergeCell ref="A566:J566"/>
    <mergeCell ref="A567:D567"/>
    <mergeCell ref="A568:D568"/>
    <mergeCell ref="A557:D557"/>
    <mergeCell ref="A558:D558"/>
    <mergeCell ref="A559:D559"/>
    <mergeCell ref="A560:D560"/>
    <mergeCell ref="A561:D561"/>
    <mergeCell ref="A562:D562"/>
    <mergeCell ref="A588:E588"/>
    <mergeCell ref="A589:I589"/>
    <mergeCell ref="A590:J590"/>
    <mergeCell ref="A591:D591"/>
    <mergeCell ref="A592:D592"/>
    <mergeCell ref="A593:D593"/>
    <mergeCell ref="B582:H582"/>
    <mergeCell ref="B583:H583"/>
    <mergeCell ref="A584:J584"/>
    <mergeCell ref="A585:E585"/>
    <mergeCell ref="A586:E586"/>
    <mergeCell ref="A587:E587"/>
    <mergeCell ref="A575:C575"/>
    <mergeCell ref="A576:C576"/>
    <mergeCell ref="A577:C577"/>
    <mergeCell ref="A578:C578"/>
    <mergeCell ref="A579:I579"/>
    <mergeCell ref="A580:J581"/>
    <mergeCell ref="A606:D606"/>
    <mergeCell ref="A607:D607"/>
    <mergeCell ref="A608:D608"/>
    <mergeCell ref="A609:D609"/>
    <mergeCell ref="A610:D610"/>
    <mergeCell ref="A611:I611"/>
    <mergeCell ref="A600:D600"/>
    <mergeCell ref="A601:D601"/>
    <mergeCell ref="A602:D602"/>
    <mergeCell ref="A603:D603"/>
    <mergeCell ref="A604:I604"/>
    <mergeCell ref="A605:J605"/>
    <mergeCell ref="A594:D594"/>
    <mergeCell ref="A595:D595"/>
    <mergeCell ref="A596:D596"/>
    <mergeCell ref="A597:D597"/>
    <mergeCell ref="A598:D598"/>
    <mergeCell ref="A599:D599"/>
    <mergeCell ref="A625:E625"/>
    <mergeCell ref="A626:E626"/>
    <mergeCell ref="A627:E627"/>
    <mergeCell ref="A628:E628"/>
    <mergeCell ref="A629:E629"/>
    <mergeCell ref="A630:I630"/>
    <mergeCell ref="A618:I618"/>
    <mergeCell ref="A619:J620"/>
    <mergeCell ref="B621:H621"/>
    <mergeCell ref="B622:H622"/>
    <mergeCell ref="A623:J623"/>
    <mergeCell ref="A624:E624"/>
    <mergeCell ref="A612:J612"/>
    <mergeCell ref="A613:D613"/>
    <mergeCell ref="A614:C614"/>
    <mergeCell ref="A615:C615"/>
    <mergeCell ref="A616:C616"/>
    <mergeCell ref="A617:C617"/>
    <mergeCell ref="A643:D643"/>
    <mergeCell ref="A644:D644"/>
    <mergeCell ref="A645:D645"/>
    <mergeCell ref="A646:D646"/>
    <mergeCell ref="A647:I647"/>
    <mergeCell ref="A648:J648"/>
    <mergeCell ref="A637:D637"/>
    <mergeCell ref="A638:D638"/>
    <mergeCell ref="A639:D639"/>
    <mergeCell ref="A640:D640"/>
    <mergeCell ref="A641:D641"/>
    <mergeCell ref="A642:D642"/>
    <mergeCell ref="A631:J631"/>
    <mergeCell ref="A632:D632"/>
    <mergeCell ref="A633:D633"/>
    <mergeCell ref="A634:D634"/>
    <mergeCell ref="A635:D635"/>
    <mergeCell ref="A636:D636"/>
    <mergeCell ref="A661:I661"/>
    <mergeCell ref="A662:J663"/>
    <mergeCell ref="B664:H664"/>
    <mergeCell ref="B665:H665"/>
    <mergeCell ref="A666:J666"/>
    <mergeCell ref="A667:E667"/>
    <mergeCell ref="A655:J655"/>
    <mergeCell ref="A656:D656"/>
    <mergeCell ref="A657:C657"/>
    <mergeCell ref="A658:C658"/>
    <mergeCell ref="A659:C659"/>
    <mergeCell ref="A660:C660"/>
    <mergeCell ref="A649:D649"/>
    <mergeCell ref="A650:D650"/>
    <mergeCell ref="A651:D651"/>
    <mergeCell ref="A652:D652"/>
    <mergeCell ref="A653:D653"/>
    <mergeCell ref="A654:I654"/>
    <mergeCell ref="A680:D680"/>
    <mergeCell ref="A681:D681"/>
    <mergeCell ref="A682:D682"/>
    <mergeCell ref="A683:D683"/>
    <mergeCell ref="A684:D684"/>
    <mergeCell ref="A685:D685"/>
    <mergeCell ref="A674:J674"/>
    <mergeCell ref="A675:D675"/>
    <mergeCell ref="A676:D676"/>
    <mergeCell ref="A677:D677"/>
    <mergeCell ref="A678:D678"/>
    <mergeCell ref="A679:D679"/>
    <mergeCell ref="A668:E668"/>
    <mergeCell ref="A669:E669"/>
    <mergeCell ref="A670:E670"/>
    <mergeCell ref="A671:E671"/>
    <mergeCell ref="A672:E672"/>
    <mergeCell ref="A673:I673"/>
    <mergeCell ref="A698:C698"/>
    <mergeCell ref="A699:C699"/>
    <mergeCell ref="A700:I700"/>
    <mergeCell ref="A701:J702"/>
    <mergeCell ref="B703:H703"/>
    <mergeCell ref="B704:H704"/>
    <mergeCell ref="A692:D692"/>
    <mergeCell ref="A693:I693"/>
    <mergeCell ref="A694:J694"/>
    <mergeCell ref="A695:D695"/>
    <mergeCell ref="A696:C696"/>
    <mergeCell ref="A697:C697"/>
    <mergeCell ref="A686:I686"/>
    <mergeCell ref="A687:J687"/>
    <mergeCell ref="A688:D688"/>
    <mergeCell ref="A689:D689"/>
    <mergeCell ref="A690:D690"/>
    <mergeCell ref="A691:D691"/>
    <mergeCell ref="A717:D717"/>
    <mergeCell ref="A718:D718"/>
    <mergeCell ref="A719:D719"/>
    <mergeCell ref="A720:I720"/>
    <mergeCell ref="A721:J721"/>
    <mergeCell ref="A722:D722"/>
    <mergeCell ref="A711:E711"/>
    <mergeCell ref="A712:I712"/>
    <mergeCell ref="A713:J713"/>
    <mergeCell ref="A714:D714"/>
    <mergeCell ref="A715:D715"/>
    <mergeCell ref="A716:D716"/>
    <mergeCell ref="A705:J705"/>
    <mergeCell ref="A706:E706"/>
    <mergeCell ref="A707:E707"/>
    <mergeCell ref="A708:E708"/>
    <mergeCell ref="A709:E709"/>
    <mergeCell ref="A710:E710"/>
    <mergeCell ref="A735:J736"/>
    <mergeCell ref="B737:H737"/>
    <mergeCell ref="B738:H738"/>
    <mergeCell ref="A739:J739"/>
    <mergeCell ref="A740:E740"/>
    <mergeCell ref="A741:E741"/>
    <mergeCell ref="A729:D729"/>
    <mergeCell ref="A730:C730"/>
    <mergeCell ref="A731:C731"/>
    <mergeCell ref="A732:C732"/>
    <mergeCell ref="A733:C733"/>
    <mergeCell ref="A734:I734"/>
    <mergeCell ref="A723:D723"/>
    <mergeCell ref="A724:D724"/>
    <mergeCell ref="A725:D725"/>
    <mergeCell ref="A726:D726"/>
    <mergeCell ref="A727:I727"/>
    <mergeCell ref="A728:J728"/>
    <mergeCell ref="A754:I754"/>
    <mergeCell ref="A755:J755"/>
    <mergeCell ref="A756:D756"/>
    <mergeCell ref="A757:D757"/>
    <mergeCell ref="A758:D758"/>
    <mergeCell ref="A759:D759"/>
    <mergeCell ref="A748:D748"/>
    <mergeCell ref="A749:D749"/>
    <mergeCell ref="A750:D750"/>
    <mergeCell ref="A751:D751"/>
    <mergeCell ref="A752:D752"/>
    <mergeCell ref="A753:D753"/>
    <mergeCell ref="A742:E742"/>
    <mergeCell ref="A743:E743"/>
    <mergeCell ref="A744:E744"/>
    <mergeCell ref="A745:E745"/>
    <mergeCell ref="A746:I746"/>
    <mergeCell ref="A747:J747"/>
    <mergeCell ref="A773:J773"/>
    <mergeCell ref="A774:E774"/>
    <mergeCell ref="A775:E775"/>
    <mergeCell ref="A776:E776"/>
    <mergeCell ref="A777:E777"/>
    <mergeCell ref="A778:E778"/>
    <mergeCell ref="A766:C766"/>
    <mergeCell ref="A767:C767"/>
    <mergeCell ref="A768:I768"/>
    <mergeCell ref="A769:J770"/>
    <mergeCell ref="B771:H771"/>
    <mergeCell ref="B772:H772"/>
    <mergeCell ref="A760:D760"/>
    <mergeCell ref="A761:I761"/>
    <mergeCell ref="A762:J762"/>
    <mergeCell ref="A763:D763"/>
    <mergeCell ref="A764:C764"/>
    <mergeCell ref="A765:C765"/>
    <mergeCell ref="A791:D791"/>
    <mergeCell ref="A792:D792"/>
    <mergeCell ref="A793:D793"/>
    <mergeCell ref="A794:D794"/>
    <mergeCell ref="A795:I795"/>
    <mergeCell ref="A796:J796"/>
    <mergeCell ref="A785:D785"/>
    <mergeCell ref="A786:D786"/>
    <mergeCell ref="A787:D787"/>
    <mergeCell ref="A788:I788"/>
    <mergeCell ref="A789:J789"/>
    <mergeCell ref="A790:D790"/>
    <mergeCell ref="A779:E779"/>
    <mergeCell ref="A780:I780"/>
    <mergeCell ref="A781:J781"/>
    <mergeCell ref="A782:D782"/>
    <mergeCell ref="A783:D783"/>
    <mergeCell ref="A784:D784"/>
    <mergeCell ref="A810:E810"/>
    <mergeCell ref="A811:E811"/>
    <mergeCell ref="A812:E812"/>
    <mergeCell ref="A813:E813"/>
    <mergeCell ref="A814:I814"/>
    <mergeCell ref="A815:J815"/>
    <mergeCell ref="A803:J804"/>
    <mergeCell ref="B805:H805"/>
    <mergeCell ref="B806:H806"/>
    <mergeCell ref="A807:J807"/>
    <mergeCell ref="A808:E808"/>
    <mergeCell ref="A809:E809"/>
    <mergeCell ref="A797:D797"/>
    <mergeCell ref="A798:C798"/>
    <mergeCell ref="A799:C799"/>
    <mergeCell ref="A800:C800"/>
    <mergeCell ref="A801:C801"/>
    <mergeCell ref="A802:I802"/>
    <mergeCell ref="A828:D828"/>
    <mergeCell ref="A829:I829"/>
    <mergeCell ref="A830:J830"/>
    <mergeCell ref="A831:D831"/>
    <mergeCell ref="A832:C832"/>
    <mergeCell ref="A833:C833"/>
    <mergeCell ref="A822:I822"/>
    <mergeCell ref="A823:J823"/>
    <mergeCell ref="A824:D824"/>
    <mergeCell ref="A825:D825"/>
    <mergeCell ref="A826:D826"/>
    <mergeCell ref="A827:D827"/>
    <mergeCell ref="A816:D816"/>
    <mergeCell ref="A817:D817"/>
    <mergeCell ref="A818:D818"/>
    <mergeCell ref="A819:D819"/>
    <mergeCell ref="A820:D820"/>
    <mergeCell ref="A821:D821"/>
    <mergeCell ref="A847:E847"/>
    <mergeCell ref="A848:I848"/>
    <mergeCell ref="A849:J849"/>
    <mergeCell ref="A850:D850"/>
    <mergeCell ref="A851:D851"/>
    <mergeCell ref="A852:D852"/>
    <mergeCell ref="A841:J841"/>
    <mergeCell ref="A842:E842"/>
    <mergeCell ref="A843:E843"/>
    <mergeCell ref="A844:E844"/>
    <mergeCell ref="A845:E845"/>
    <mergeCell ref="A846:E846"/>
    <mergeCell ref="A834:C834"/>
    <mergeCell ref="A835:C835"/>
    <mergeCell ref="A836:I836"/>
    <mergeCell ref="A837:J838"/>
    <mergeCell ref="B839:H839"/>
    <mergeCell ref="B840:H840"/>
    <mergeCell ref="A865:J865"/>
    <mergeCell ref="A866:D866"/>
    <mergeCell ref="A867:C867"/>
    <mergeCell ref="A868:C868"/>
    <mergeCell ref="A869:C869"/>
    <mergeCell ref="A870:C870"/>
    <mergeCell ref="A859:D859"/>
    <mergeCell ref="A860:D860"/>
    <mergeCell ref="A861:D861"/>
    <mergeCell ref="A862:D862"/>
    <mergeCell ref="A863:D863"/>
    <mergeCell ref="A864:I864"/>
    <mergeCell ref="A853:D853"/>
    <mergeCell ref="A854:D854"/>
    <mergeCell ref="A855:D855"/>
    <mergeCell ref="A856:D856"/>
    <mergeCell ref="A857:I857"/>
    <mergeCell ref="A858:J858"/>
    <mergeCell ref="A884:J884"/>
    <mergeCell ref="A885:D885"/>
    <mergeCell ref="A886:D886"/>
    <mergeCell ref="A887:D887"/>
    <mergeCell ref="A888:D888"/>
    <mergeCell ref="A889:D889"/>
    <mergeCell ref="A878:E878"/>
    <mergeCell ref="A879:E879"/>
    <mergeCell ref="A880:E880"/>
    <mergeCell ref="A881:E881"/>
    <mergeCell ref="A882:E882"/>
    <mergeCell ref="A883:I883"/>
    <mergeCell ref="A871:I871"/>
    <mergeCell ref="A872:J873"/>
    <mergeCell ref="B874:H874"/>
    <mergeCell ref="B875:H875"/>
    <mergeCell ref="A876:J876"/>
    <mergeCell ref="A877:E877"/>
    <mergeCell ref="A902:C902"/>
    <mergeCell ref="A903:C903"/>
    <mergeCell ref="A904:C904"/>
    <mergeCell ref="A905:C905"/>
    <mergeCell ref="A906:I906"/>
    <mergeCell ref="A907:J908"/>
    <mergeCell ref="A896:D896"/>
    <mergeCell ref="A897:D897"/>
    <mergeCell ref="A898:D898"/>
    <mergeCell ref="A899:I899"/>
    <mergeCell ref="A900:J900"/>
    <mergeCell ref="A901:D901"/>
    <mergeCell ref="A890:D890"/>
    <mergeCell ref="A891:D891"/>
    <mergeCell ref="A892:I892"/>
    <mergeCell ref="A893:J893"/>
    <mergeCell ref="A894:D894"/>
    <mergeCell ref="A895:D895"/>
    <mergeCell ref="A921:D921"/>
    <mergeCell ref="A922:D922"/>
    <mergeCell ref="A923:D923"/>
    <mergeCell ref="A924:D924"/>
    <mergeCell ref="A925:D925"/>
    <mergeCell ref="A926:I926"/>
    <mergeCell ref="A915:E915"/>
    <mergeCell ref="A916:E916"/>
    <mergeCell ref="A917:E917"/>
    <mergeCell ref="A918:I918"/>
    <mergeCell ref="A919:J919"/>
    <mergeCell ref="A920:D920"/>
    <mergeCell ref="B909:H909"/>
    <mergeCell ref="B910:H910"/>
    <mergeCell ref="A911:J911"/>
    <mergeCell ref="A912:E912"/>
    <mergeCell ref="A913:E913"/>
    <mergeCell ref="A914:E914"/>
    <mergeCell ref="A939:C939"/>
    <mergeCell ref="A940:I940"/>
    <mergeCell ref="A941:J942"/>
    <mergeCell ref="B943:H943"/>
    <mergeCell ref="B944:H944"/>
    <mergeCell ref="A945:J945"/>
    <mergeCell ref="A933:I933"/>
    <mergeCell ref="A934:J934"/>
    <mergeCell ref="A935:D935"/>
    <mergeCell ref="A936:C936"/>
    <mergeCell ref="A937:C937"/>
    <mergeCell ref="A938:C938"/>
    <mergeCell ref="A927:J927"/>
    <mergeCell ref="A928:D928"/>
    <mergeCell ref="A929:D929"/>
    <mergeCell ref="A930:D930"/>
    <mergeCell ref="A931:D931"/>
    <mergeCell ref="A932:D932"/>
    <mergeCell ref="A958:D958"/>
    <mergeCell ref="A959:D959"/>
    <mergeCell ref="A960:D960"/>
    <mergeCell ref="A961:D961"/>
    <mergeCell ref="A962:D962"/>
    <mergeCell ref="A963:D963"/>
    <mergeCell ref="A952:I952"/>
    <mergeCell ref="A953:J953"/>
    <mergeCell ref="A954:D954"/>
    <mergeCell ref="A955:D955"/>
    <mergeCell ref="A956:D956"/>
    <mergeCell ref="A957:D957"/>
    <mergeCell ref="A946:E946"/>
    <mergeCell ref="A947:E947"/>
    <mergeCell ref="A948:E948"/>
    <mergeCell ref="A949:E949"/>
    <mergeCell ref="A950:E950"/>
    <mergeCell ref="A951:E951"/>
    <mergeCell ref="A976:J976"/>
    <mergeCell ref="A977:D977"/>
    <mergeCell ref="A978:C978"/>
    <mergeCell ref="A979:C979"/>
    <mergeCell ref="A980:C980"/>
    <mergeCell ref="A981:C981"/>
    <mergeCell ref="A970:D970"/>
    <mergeCell ref="A971:D971"/>
    <mergeCell ref="A972:D972"/>
    <mergeCell ref="A973:D973"/>
    <mergeCell ref="A974:D974"/>
    <mergeCell ref="A975:I975"/>
    <mergeCell ref="A964:D964"/>
    <mergeCell ref="A965:D965"/>
    <mergeCell ref="A966:D966"/>
    <mergeCell ref="A967:D967"/>
    <mergeCell ref="A968:I968"/>
    <mergeCell ref="A969:J969"/>
    <mergeCell ref="A995:J995"/>
    <mergeCell ref="A996:D996"/>
    <mergeCell ref="A997:D997"/>
    <mergeCell ref="A998:D998"/>
    <mergeCell ref="A999:D999"/>
    <mergeCell ref="A1000:D1000"/>
    <mergeCell ref="A989:E989"/>
    <mergeCell ref="A990:E990"/>
    <mergeCell ref="A991:E991"/>
    <mergeCell ref="A992:E992"/>
    <mergeCell ref="A993:E993"/>
    <mergeCell ref="A994:I994"/>
    <mergeCell ref="A982:I982"/>
    <mergeCell ref="A983:J984"/>
    <mergeCell ref="B985:H985"/>
    <mergeCell ref="B986:H986"/>
    <mergeCell ref="A987:J987"/>
    <mergeCell ref="A988:E988"/>
    <mergeCell ref="A1013:D1013"/>
    <mergeCell ref="A1014:D1014"/>
    <mergeCell ref="A1015:D1015"/>
    <mergeCell ref="A1016:D1016"/>
    <mergeCell ref="A1017:I1017"/>
    <mergeCell ref="A1018:J1018"/>
    <mergeCell ref="A1007:D1007"/>
    <mergeCell ref="A1008:D1008"/>
    <mergeCell ref="A1009:D1009"/>
    <mergeCell ref="A1010:I1010"/>
    <mergeCell ref="A1011:J1011"/>
    <mergeCell ref="A1012:D1012"/>
    <mergeCell ref="A1001:D1001"/>
    <mergeCell ref="A1002:D1002"/>
    <mergeCell ref="A1003:D1003"/>
    <mergeCell ref="A1004:D1004"/>
    <mergeCell ref="A1005:D1005"/>
    <mergeCell ref="A1006:D1006"/>
    <mergeCell ref="A1032:E1032"/>
    <mergeCell ref="A1033:E1033"/>
    <mergeCell ref="A1034:E1034"/>
    <mergeCell ref="A1035:E1035"/>
    <mergeCell ref="A1036:I1036"/>
    <mergeCell ref="A1037:J1037"/>
    <mergeCell ref="A1025:J1026"/>
    <mergeCell ref="B1027:H1027"/>
    <mergeCell ref="B1028:H1028"/>
    <mergeCell ref="A1029:J1029"/>
    <mergeCell ref="A1030:E1030"/>
    <mergeCell ref="A1031:E1031"/>
    <mergeCell ref="A1019:D1019"/>
    <mergeCell ref="A1020:C1020"/>
    <mergeCell ref="A1021:C1021"/>
    <mergeCell ref="A1022:C1022"/>
    <mergeCell ref="A1023:C1023"/>
    <mergeCell ref="A1024:I1024"/>
    <mergeCell ref="A1050:D1050"/>
    <mergeCell ref="A1051:D1051"/>
    <mergeCell ref="A1052:I1052"/>
    <mergeCell ref="A1053:J1053"/>
    <mergeCell ref="A1054:D1054"/>
    <mergeCell ref="A1055:D1055"/>
    <mergeCell ref="A1044:D1044"/>
    <mergeCell ref="A1045:D1045"/>
    <mergeCell ref="A1046:D1046"/>
    <mergeCell ref="A1047:D1047"/>
    <mergeCell ref="A1048:D1048"/>
    <mergeCell ref="A1049:D1049"/>
    <mergeCell ref="A1038:D1038"/>
    <mergeCell ref="A1039:D1039"/>
    <mergeCell ref="A1040:D1040"/>
    <mergeCell ref="A1041:D1041"/>
    <mergeCell ref="A1042:D1042"/>
    <mergeCell ref="A1043:D1043"/>
    <mergeCell ref="B1069:H1069"/>
    <mergeCell ref="B1070:H1070"/>
    <mergeCell ref="A1071:J1071"/>
    <mergeCell ref="A1072:E1072"/>
    <mergeCell ref="A1073:E1073"/>
    <mergeCell ref="A1074:E1074"/>
    <mergeCell ref="A1062:C1062"/>
    <mergeCell ref="A1063:C1063"/>
    <mergeCell ref="A1064:C1064"/>
    <mergeCell ref="A1065:C1065"/>
    <mergeCell ref="A1066:I1066"/>
    <mergeCell ref="A1067:J1068"/>
    <mergeCell ref="A1056:D1056"/>
    <mergeCell ref="A1057:D1057"/>
    <mergeCell ref="A1058:D1058"/>
    <mergeCell ref="A1059:I1059"/>
    <mergeCell ref="A1060:J1060"/>
    <mergeCell ref="A1061:D1061"/>
    <mergeCell ref="A1087:D1087"/>
    <mergeCell ref="A1088:D1088"/>
    <mergeCell ref="A1089:D1089"/>
    <mergeCell ref="A1090:D1090"/>
    <mergeCell ref="A1091:D1091"/>
    <mergeCell ref="A1092:D1092"/>
    <mergeCell ref="A1081:D1081"/>
    <mergeCell ref="A1082:D1082"/>
    <mergeCell ref="A1083:D1083"/>
    <mergeCell ref="A1084:D1084"/>
    <mergeCell ref="A1085:D1085"/>
    <mergeCell ref="A1086:D1086"/>
    <mergeCell ref="A1075:E1075"/>
    <mergeCell ref="A1076:E1076"/>
    <mergeCell ref="A1077:E1077"/>
    <mergeCell ref="A1078:I1078"/>
    <mergeCell ref="A1079:J1079"/>
    <mergeCell ref="A1080:D1080"/>
    <mergeCell ref="A1105:C1105"/>
    <mergeCell ref="A1106:C1106"/>
    <mergeCell ref="A1107:C1107"/>
    <mergeCell ref="A1108:I1108"/>
    <mergeCell ref="A1109:J1110"/>
    <mergeCell ref="B1111:H1111"/>
    <mergeCell ref="A1099:D1099"/>
    <mergeCell ref="A1100:D1100"/>
    <mergeCell ref="A1101:I1101"/>
    <mergeCell ref="A1102:J1102"/>
    <mergeCell ref="A1103:D1103"/>
    <mergeCell ref="A1104:C1104"/>
    <mergeCell ref="A1093:D1093"/>
    <mergeCell ref="A1094:I1094"/>
    <mergeCell ref="A1095:J1095"/>
    <mergeCell ref="A1096:D1096"/>
    <mergeCell ref="A1097:D1097"/>
    <mergeCell ref="A1098:D1098"/>
    <mergeCell ref="A1124:D1124"/>
    <mergeCell ref="A1125:D1125"/>
    <mergeCell ref="A1126:D1126"/>
    <mergeCell ref="A1127:D1127"/>
    <mergeCell ref="A1128:D1128"/>
    <mergeCell ref="A1129:D1129"/>
    <mergeCell ref="A1118:E1118"/>
    <mergeCell ref="A1119:E1119"/>
    <mergeCell ref="A1120:I1120"/>
    <mergeCell ref="A1121:J1121"/>
    <mergeCell ref="A1122:D1122"/>
    <mergeCell ref="A1123:D1123"/>
    <mergeCell ref="B1112:H1112"/>
    <mergeCell ref="A1113:J1113"/>
    <mergeCell ref="A1114:E1114"/>
    <mergeCell ref="A1115:E1115"/>
    <mergeCell ref="A1116:E1116"/>
    <mergeCell ref="A1117:E1117"/>
    <mergeCell ref="A1142:D1142"/>
    <mergeCell ref="A1143:I1143"/>
    <mergeCell ref="A1144:J1144"/>
    <mergeCell ref="A1145:D1145"/>
    <mergeCell ref="A1146:C1146"/>
    <mergeCell ref="A1147:C1147"/>
    <mergeCell ref="A1136:I1136"/>
    <mergeCell ref="A1137:J1137"/>
    <mergeCell ref="A1138:D1138"/>
    <mergeCell ref="A1139:D1139"/>
    <mergeCell ref="A1140:D1140"/>
    <mergeCell ref="A1141:D1141"/>
    <mergeCell ref="A1130:D1130"/>
    <mergeCell ref="A1131:D1131"/>
    <mergeCell ref="A1132:D1132"/>
    <mergeCell ref="A1133:D1133"/>
    <mergeCell ref="A1134:D1134"/>
    <mergeCell ref="A1135:D1135"/>
    <mergeCell ref="A1161:E1161"/>
    <mergeCell ref="A1162:I1162"/>
    <mergeCell ref="A1163:J1163"/>
    <mergeCell ref="A1164:D1164"/>
    <mergeCell ref="A1165:D1165"/>
    <mergeCell ref="A1166:D1166"/>
    <mergeCell ref="A1155:J1155"/>
    <mergeCell ref="A1156:E1156"/>
    <mergeCell ref="A1157:E1157"/>
    <mergeCell ref="A1158:E1158"/>
    <mergeCell ref="A1159:E1159"/>
    <mergeCell ref="A1160:E1160"/>
    <mergeCell ref="A1148:C1148"/>
    <mergeCell ref="A1149:C1149"/>
    <mergeCell ref="A1150:I1150"/>
    <mergeCell ref="A1151:J1152"/>
    <mergeCell ref="B1153:H1153"/>
    <mergeCell ref="B1154:H1154"/>
    <mergeCell ref="A1179:J1179"/>
    <mergeCell ref="A1180:D1180"/>
    <mergeCell ref="A1181:D1181"/>
    <mergeCell ref="A1182:D1182"/>
    <mergeCell ref="A1183:D1183"/>
    <mergeCell ref="A1184:D1184"/>
    <mergeCell ref="A1173:D1173"/>
    <mergeCell ref="A1174:D1174"/>
    <mergeCell ref="A1175:D1175"/>
    <mergeCell ref="A1176:D1176"/>
    <mergeCell ref="A1177:D1177"/>
    <mergeCell ref="A1178:I1178"/>
    <mergeCell ref="A1167:D1167"/>
    <mergeCell ref="A1168:D1168"/>
    <mergeCell ref="A1169:D1169"/>
    <mergeCell ref="A1170:D1170"/>
    <mergeCell ref="A1171:D1171"/>
    <mergeCell ref="A1172:D1172"/>
    <mergeCell ref="A1198:E1198"/>
    <mergeCell ref="A1199:E1199"/>
    <mergeCell ref="A1200:E1200"/>
    <mergeCell ref="A1201:E1201"/>
    <mergeCell ref="A1202:E1202"/>
    <mergeCell ref="A1203:E1203"/>
    <mergeCell ref="A1191:C1191"/>
    <mergeCell ref="A1192:I1192"/>
    <mergeCell ref="A1193:J1194"/>
    <mergeCell ref="B1195:H1195"/>
    <mergeCell ref="B1196:H1196"/>
    <mergeCell ref="A1197:J1197"/>
    <mergeCell ref="A1185:I1185"/>
    <mergeCell ref="A1186:J1186"/>
    <mergeCell ref="A1187:D1187"/>
    <mergeCell ref="A1188:C1188"/>
    <mergeCell ref="A1189:C1189"/>
    <mergeCell ref="A1190:C1190"/>
    <mergeCell ref="A1216:D1216"/>
    <mergeCell ref="A1217:D1217"/>
    <mergeCell ref="A1218:D1218"/>
    <mergeCell ref="A1219:D1219"/>
    <mergeCell ref="A1220:I1220"/>
    <mergeCell ref="A1221:J1221"/>
    <mergeCell ref="A1210:D1210"/>
    <mergeCell ref="A1211:D1211"/>
    <mergeCell ref="A1212:D1212"/>
    <mergeCell ref="A1213:D1213"/>
    <mergeCell ref="A1214:D1214"/>
    <mergeCell ref="A1215:D1215"/>
    <mergeCell ref="A1204:I1204"/>
    <mergeCell ref="A1205:J1205"/>
    <mergeCell ref="A1206:D1206"/>
    <mergeCell ref="A1207:D1207"/>
    <mergeCell ref="A1208:D1208"/>
    <mergeCell ref="A1209:D1209"/>
    <mergeCell ref="A1234:I1234"/>
    <mergeCell ref="A1235:J1236"/>
    <mergeCell ref="B1237:H1237"/>
    <mergeCell ref="B1238:H1238"/>
    <mergeCell ref="A1239:J1239"/>
    <mergeCell ref="A1240:E1240"/>
    <mergeCell ref="A1228:J1228"/>
    <mergeCell ref="A1229:D1229"/>
    <mergeCell ref="A1230:C1230"/>
    <mergeCell ref="A1231:C1231"/>
    <mergeCell ref="A1232:C1232"/>
    <mergeCell ref="A1233:C1233"/>
    <mergeCell ref="A1222:D1222"/>
    <mergeCell ref="A1223:D1223"/>
    <mergeCell ref="A1224:D1224"/>
    <mergeCell ref="A1225:D1225"/>
    <mergeCell ref="A1226:D1226"/>
    <mergeCell ref="A1227:I1227"/>
    <mergeCell ref="A1253:D1253"/>
    <mergeCell ref="A1254:D1254"/>
    <mergeCell ref="A1255:D1255"/>
    <mergeCell ref="A1256:D1256"/>
    <mergeCell ref="A1257:D1257"/>
    <mergeCell ref="A1258:D1258"/>
    <mergeCell ref="A1247:J1247"/>
    <mergeCell ref="A1248:D1248"/>
    <mergeCell ref="A1249:D1249"/>
    <mergeCell ref="A1250:D1250"/>
    <mergeCell ref="A1251:D1251"/>
    <mergeCell ref="A1252:D1252"/>
    <mergeCell ref="A1241:E1241"/>
    <mergeCell ref="A1242:E1242"/>
    <mergeCell ref="A1243:E1243"/>
    <mergeCell ref="A1244:E1244"/>
    <mergeCell ref="A1245:E1245"/>
    <mergeCell ref="A1246:I1246"/>
    <mergeCell ref="A1271:D1271"/>
    <mergeCell ref="A1272:I1272"/>
    <mergeCell ref="A1273:J1273"/>
    <mergeCell ref="A1274:D1274"/>
    <mergeCell ref="A1275:C1275"/>
    <mergeCell ref="A1276:C1276"/>
    <mergeCell ref="A1265:I1265"/>
    <mergeCell ref="A1266:J1266"/>
    <mergeCell ref="A1267:D1267"/>
    <mergeCell ref="A1268:D1268"/>
    <mergeCell ref="A1269:D1269"/>
    <mergeCell ref="A1270:D1270"/>
    <mergeCell ref="A1259:D1259"/>
    <mergeCell ref="A1260:D1260"/>
    <mergeCell ref="A1261:D1261"/>
    <mergeCell ref="A1262:D1262"/>
    <mergeCell ref="A1263:D1263"/>
    <mergeCell ref="A1264:D1264"/>
    <mergeCell ref="A1290:E1290"/>
    <mergeCell ref="A1291:I1291"/>
    <mergeCell ref="A1292:J1292"/>
    <mergeCell ref="A1293:D1293"/>
    <mergeCell ref="A1294:D1294"/>
    <mergeCell ref="A1295:D1295"/>
    <mergeCell ref="A1284:J1284"/>
    <mergeCell ref="A1285:E1285"/>
    <mergeCell ref="A1286:E1286"/>
    <mergeCell ref="A1287:E1287"/>
    <mergeCell ref="A1288:E1288"/>
    <mergeCell ref="A1289:E1289"/>
    <mergeCell ref="A1277:C1277"/>
    <mergeCell ref="A1278:C1278"/>
    <mergeCell ref="A1279:I1279"/>
    <mergeCell ref="A1280:J1281"/>
    <mergeCell ref="B1282:H1282"/>
    <mergeCell ref="B1283:H1283"/>
    <mergeCell ref="A1308:D1308"/>
    <mergeCell ref="A1309:D1309"/>
    <mergeCell ref="A1310:D1310"/>
    <mergeCell ref="A1311:D1311"/>
    <mergeCell ref="A1312:D1312"/>
    <mergeCell ref="A1313:I1313"/>
    <mergeCell ref="A1302:D1302"/>
    <mergeCell ref="A1303:D1303"/>
    <mergeCell ref="A1304:D1304"/>
    <mergeCell ref="A1305:D1305"/>
    <mergeCell ref="A1306:I1306"/>
    <mergeCell ref="A1307:J1307"/>
    <mergeCell ref="A1296:D1296"/>
    <mergeCell ref="A1297:D1297"/>
    <mergeCell ref="A1298:D1298"/>
    <mergeCell ref="A1299:D1299"/>
    <mergeCell ref="A1300:D1300"/>
    <mergeCell ref="A1301:D1301"/>
    <mergeCell ref="A1327:E1327"/>
    <mergeCell ref="A1328:E1328"/>
    <mergeCell ref="A1329:E1329"/>
    <mergeCell ref="A1330:E1330"/>
    <mergeCell ref="A1331:E1331"/>
    <mergeCell ref="A1332:I1332"/>
    <mergeCell ref="A1320:I1320"/>
    <mergeCell ref="A1321:J1322"/>
    <mergeCell ref="B1323:H1323"/>
    <mergeCell ref="B1324:H1324"/>
    <mergeCell ref="A1325:J1325"/>
    <mergeCell ref="A1326:E1326"/>
    <mergeCell ref="A1314:J1314"/>
    <mergeCell ref="A1315:D1315"/>
    <mergeCell ref="A1316:C1316"/>
    <mergeCell ref="A1317:C1317"/>
    <mergeCell ref="A1318:C1318"/>
    <mergeCell ref="A1319:C1319"/>
    <mergeCell ref="A1345:D1345"/>
    <mergeCell ref="A1346:D1346"/>
    <mergeCell ref="A1347:I1347"/>
    <mergeCell ref="A1348:J1348"/>
    <mergeCell ref="A1349:D1349"/>
    <mergeCell ref="A1350:D1350"/>
    <mergeCell ref="A1339:D1339"/>
    <mergeCell ref="A1340:D1340"/>
    <mergeCell ref="A1341:D1341"/>
    <mergeCell ref="A1342:D1342"/>
    <mergeCell ref="A1343:D1343"/>
    <mergeCell ref="A1344:D1344"/>
    <mergeCell ref="A1333:J1333"/>
    <mergeCell ref="A1334:D1334"/>
    <mergeCell ref="A1335:D1335"/>
    <mergeCell ref="A1336:D1336"/>
    <mergeCell ref="A1337:D1337"/>
    <mergeCell ref="A1338:D1338"/>
    <mergeCell ref="B1364:H1364"/>
    <mergeCell ref="B1365:H1365"/>
    <mergeCell ref="A1366:J1366"/>
    <mergeCell ref="A1367:E1367"/>
    <mergeCell ref="A1368:E1368"/>
    <mergeCell ref="A1369:E1369"/>
    <mergeCell ref="A1357:C1357"/>
    <mergeCell ref="A1358:C1358"/>
    <mergeCell ref="A1359:C1359"/>
    <mergeCell ref="A1360:C1360"/>
    <mergeCell ref="A1361:I1361"/>
    <mergeCell ref="A1362:J1363"/>
    <mergeCell ref="A1351:D1351"/>
    <mergeCell ref="A1352:D1352"/>
    <mergeCell ref="A1353:D1353"/>
    <mergeCell ref="A1354:I1354"/>
    <mergeCell ref="A1355:J1355"/>
    <mergeCell ref="A1356:D1356"/>
    <mergeCell ref="A1382:D1382"/>
    <mergeCell ref="A1383:D1383"/>
    <mergeCell ref="A1384:D1384"/>
    <mergeCell ref="A1385:D1385"/>
    <mergeCell ref="A1386:I1386"/>
    <mergeCell ref="A1387:J1387"/>
    <mergeCell ref="A1376:D1376"/>
    <mergeCell ref="A1377:D1377"/>
    <mergeCell ref="A1378:D1378"/>
    <mergeCell ref="A1379:D1379"/>
    <mergeCell ref="A1380:D1380"/>
    <mergeCell ref="A1381:D1381"/>
    <mergeCell ref="A1370:E1370"/>
    <mergeCell ref="A1371:E1371"/>
    <mergeCell ref="A1372:E1372"/>
    <mergeCell ref="A1373:I1373"/>
    <mergeCell ref="A1374:J1374"/>
    <mergeCell ref="A1375:D1375"/>
    <mergeCell ref="A1400:I1400"/>
    <mergeCell ref="A1401:J1402"/>
    <mergeCell ref="B1403:H1403"/>
    <mergeCell ref="B1404:H1404"/>
    <mergeCell ref="A1405:J1405"/>
    <mergeCell ref="A1406:E1406"/>
    <mergeCell ref="A1394:J1394"/>
    <mergeCell ref="A1395:D1395"/>
    <mergeCell ref="A1396:C1396"/>
    <mergeCell ref="A1397:C1397"/>
    <mergeCell ref="A1398:C1398"/>
    <mergeCell ref="A1399:C1399"/>
    <mergeCell ref="A1388:D1388"/>
    <mergeCell ref="A1389:D1389"/>
    <mergeCell ref="A1390:D1390"/>
    <mergeCell ref="A1391:D1391"/>
    <mergeCell ref="A1392:D1392"/>
    <mergeCell ref="A1393:I1393"/>
    <mergeCell ref="A1419:D1419"/>
    <mergeCell ref="A1420:D1420"/>
    <mergeCell ref="A1421:D1421"/>
    <mergeCell ref="A1422:D1422"/>
    <mergeCell ref="A1423:D1423"/>
    <mergeCell ref="A1424:D1424"/>
    <mergeCell ref="A1413:J1413"/>
    <mergeCell ref="A1414:D1414"/>
    <mergeCell ref="A1415:D1415"/>
    <mergeCell ref="A1416:D1416"/>
    <mergeCell ref="A1417:D1417"/>
    <mergeCell ref="A1418:D1418"/>
    <mergeCell ref="A1407:E1407"/>
    <mergeCell ref="A1408:E1408"/>
    <mergeCell ref="A1409:E1409"/>
    <mergeCell ref="A1410:E1410"/>
    <mergeCell ref="A1411:E1411"/>
    <mergeCell ref="A1412:I1412"/>
    <mergeCell ref="A1437:C1437"/>
    <mergeCell ref="A1438:C1438"/>
    <mergeCell ref="A1439:I1439"/>
    <mergeCell ref="A1440:J1441"/>
    <mergeCell ref="B1442:H1442"/>
    <mergeCell ref="B1443:H1443"/>
    <mergeCell ref="A1431:D1431"/>
    <mergeCell ref="A1432:I1432"/>
    <mergeCell ref="A1433:J1433"/>
    <mergeCell ref="A1434:D1434"/>
    <mergeCell ref="A1435:C1435"/>
    <mergeCell ref="A1436:C1436"/>
    <mergeCell ref="A1425:I1425"/>
    <mergeCell ref="A1426:J1426"/>
    <mergeCell ref="A1427:D1427"/>
    <mergeCell ref="A1428:D1428"/>
    <mergeCell ref="A1429:D1429"/>
    <mergeCell ref="A1430:D1430"/>
    <mergeCell ref="A1456:D1456"/>
    <mergeCell ref="A1457:D1457"/>
    <mergeCell ref="A1458:D1458"/>
    <mergeCell ref="A1459:D1459"/>
    <mergeCell ref="A1460:D1460"/>
    <mergeCell ref="A1461:D1461"/>
    <mergeCell ref="A1450:E1450"/>
    <mergeCell ref="A1451:I1451"/>
    <mergeCell ref="A1452:J1452"/>
    <mergeCell ref="A1453:D1453"/>
    <mergeCell ref="A1454:D1454"/>
    <mergeCell ref="A1455:D1455"/>
    <mergeCell ref="A1444:J1444"/>
    <mergeCell ref="A1445:E1445"/>
    <mergeCell ref="A1446:E1446"/>
    <mergeCell ref="A1447:E1447"/>
    <mergeCell ref="A1448:E1448"/>
    <mergeCell ref="A1449:E1449"/>
    <mergeCell ref="A1474:C1474"/>
    <mergeCell ref="A1475:C1475"/>
    <mergeCell ref="A1476:C1476"/>
    <mergeCell ref="A1477:C1477"/>
    <mergeCell ref="A1478:I1478"/>
    <mergeCell ref="A1479:J1480"/>
    <mergeCell ref="A1468:D1468"/>
    <mergeCell ref="A1469:D1469"/>
    <mergeCell ref="A1470:D1470"/>
    <mergeCell ref="A1471:I1471"/>
    <mergeCell ref="A1472:J1472"/>
    <mergeCell ref="A1473:D1473"/>
    <mergeCell ref="A1462:D1462"/>
    <mergeCell ref="A1463:D1463"/>
    <mergeCell ref="A1464:I1464"/>
    <mergeCell ref="A1465:J1465"/>
    <mergeCell ref="A1466:D1466"/>
    <mergeCell ref="A1467:D1467"/>
    <mergeCell ref="A1493:D1493"/>
    <mergeCell ref="A1494:D1494"/>
    <mergeCell ref="A1495:D1495"/>
    <mergeCell ref="A1496:D1496"/>
    <mergeCell ref="A1497:D1497"/>
    <mergeCell ref="A1498:D1498"/>
    <mergeCell ref="A1487:E1487"/>
    <mergeCell ref="A1488:E1488"/>
    <mergeCell ref="A1489:E1489"/>
    <mergeCell ref="A1490:I1490"/>
    <mergeCell ref="A1491:J1491"/>
    <mergeCell ref="A1492:D1492"/>
    <mergeCell ref="B1481:H1481"/>
    <mergeCell ref="B1482:H1482"/>
    <mergeCell ref="A1483:J1483"/>
    <mergeCell ref="A1484:E1484"/>
    <mergeCell ref="A1485:E1485"/>
    <mergeCell ref="A1486:E1486"/>
    <mergeCell ref="A1517:I1517"/>
    <mergeCell ref="A1518:J1519"/>
    <mergeCell ref="A1511:J1511"/>
    <mergeCell ref="A1512:D1512"/>
    <mergeCell ref="A1513:C1513"/>
    <mergeCell ref="A1514:C1514"/>
    <mergeCell ref="A1515:C1515"/>
    <mergeCell ref="A1516:C1516"/>
    <mergeCell ref="A1505:D1505"/>
    <mergeCell ref="A1506:D1506"/>
    <mergeCell ref="A1507:D1507"/>
    <mergeCell ref="A1508:D1508"/>
    <mergeCell ref="A1509:D1509"/>
    <mergeCell ref="A1510:I1510"/>
    <mergeCell ref="A1499:D1499"/>
    <mergeCell ref="A1500:D1500"/>
    <mergeCell ref="A1501:D1501"/>
    <mergeCell ref="A1502:D1502"/>
    <mergeCell ref="A1503:I1503"/>
    <mergeCell ref="A1504:J1504"/>
  </mergeCells>
  <dataValidations count="1">
    <dataValidation type="list" allowBlank="1" showInputMessage="1" showErrorMessage="1" sqref="A271:C273 A696:C698 A536:C538 A798:C800 A131:C133 A97:C99 A764:C766 A936:C938 A498:C499 A456:C458 A422:C424 A1513:C1515 A1474:C1476 A1435:C1437 A1396:C1398 A1357:C1359 A1316:C1318 A1275:C1277 A1230:C1232 A1188:C1190 A657:C659 A1146:C1148 A1062:C1064 A1104:C1106 A1020:C1022 A978:C980 A730:C732 A382:C384 A309:C311 A832:C834 A867:C869 A165:C165 A200:C202 A235:C236 A344:C346 A902:C904 A575:C577 A614:C616" xr:uid="{919D00FB-3E1C-4886-9CA2-F093FDAB174C}">
      <formula1>$L$4:$L$10</formula1>
    </dataValidation>
  </dataValidations>
  <printOptions horizontalCentered="1"/>
  <pageMargins left="0.19685039370078741" right="0.31496062992125984" top="0.78740157480314965" bottom="0.55118110236220474" header="0.31496062992125984" footer="0.31496062992125984"/>
  <pageSetup scale="85" fitToHeight="0" orientation="portrait" r:id="rId1"/>
  <headerFooter>
    <oddFooter>Página &amp;P</oddFooter>
  </headerFooter>
  <rowBreaks count="39" manualBreakCount="39">
    <brk id="33" max="9" man="1"/>
    <brk id="67" max="9" man="1"/>
    <brk id="101" max="9" man="1"/>
    <brk id="135" max="9" man="1"/>
    <brk id="169" max="9" man="1"/>
    <brk id="204" max="9" man="1"/>
    <brk id="239" max="9" man="1"/>
    <brk id="275" max="9" man="1"/>
    <brk id="313" max="9" man="1"/>
    <brk id="348" max="9" man="1"/>
    <brk id="386" max="9" man="1"/>
    <brk id="426" max="9" man="1"/>
    <brk id="460" max="9" man="1"/>
    <brk id="501" max="9" man="1"/>
    <brk id="540" max="9" man="1"/>
    <brk id="579" max="9" man="1"/>
    <brk id="618" max="9" man="1"/>
    <brk id="661" max="9" man="1"/>
    <brk id="700" max="9" man="1"/>
    <brk id="734" max="9" man="1"/>
    <brk id="768" max="9" man="1"/>
    <brk id="802" max="9" man="1"/>
    <brk id="836" max="9" man="1"/>
    <brk id="871" max="9" man="1"/>
    <brk id="906" max="9" man="1"/>
    <brk id="940" max="9" man="1"/>
    <brk id="982" max="9" man="1"/>
    <brk id="1024" max="9" man="1"/>
    <brk id="1066" max="9" man="1"/>
    <brk id="1108" max="9" man="1"/>
    <brk id="1150" max="9" man="1"/>
    <brk id="1192" max="9" man="1"/>
    <brk id="1234" max="9" man="1"/>
    <brk id="1279" max="9" man="1"/>
    <brk id="1320" max="9" man="1"/>
    <brk id="1361" max="9" man="1"/>
    <brk id="1400" max="9" man="1"/>
    <brk id="1439" max="9" man="1"/>
    <brk id="1478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C00B5-A097-4928-B5C5-23AA9AF96AD8}">
  <sheetPr>
    <tabColor rgb="FF92D050"/>
  </sheetPr>
  <dimension ref="A1:MF32"/>
  <sheetViews>
    <sheetView view="pageBreakPreview" zoomScale="80" zoomScaleNormal="86" zoomScaleSheetLayoutView="80" workbookViewId="0">
      <selection activeCell="K11" sqref="K11"/>
    </sheetView>
  </sheetViews>
  <sheetFormatPr baseColWidth="10" defaultColWidth="10.85546875" defaultRowHeight="20.25" outlineLevelCol="1" x14ac:dyDescent="0.3"/>
  <cols>
    <col min="1" max="1" width="4.42578125" style="259" customWidth="1"/>
    <col min="2" max="2" width="8.85546875" style="293" customWidth="1"/>
    <col min="3" max="3" width="50.140625" style="260" customWidth="1"/>
    <col min="4" max="4" width="11.28515625" style="260" customWidth="1"/>
    <col min="5" max="6" width="13.7109375" style="260" customWidth="1"/>
    <col min="7" max="7" width="10.140625" style="260" customWidth="1"/>
    <col min="8" max="8" width="17.28515625" style="260" customWidth="1"/>
    <col min="9" max="9" width="21" style="260" customWidth="1"/>
    <col min="10" max="10" width="21.7109375" style="286" customWidth="1"/>
    <col min="11" max="11" width="24.5703125" style="260" customWidth="1"/>
    <col min="12" max="12" width="21" style="260" customWidth="1"/>
    <col min="13" max="13" width="25.5703125" style="260" customWidth="1"/>
    <col min="14" max="14" width="10.85546875" style="260"/>
    <col min="15" max="15" width="21.42578125" style="260" bestFit="1" customWidth="1"/>
    <col min="16" max="278" width="10.85546875" style="260"/>
    <col min="279" max="344" width="10.85546875" style="260" outlineLevel="1"/>
    <col min="345" max="16384" width="10.85546875" style="260"/>
  </cols>
  <sheetData>
    <row r="1" spans="1:344" ht="15" customHeight="1" x14ac:dyDescent="0.3">
      <c r="B1" s="481" t="str">
        <f>+[46]PTO!B2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C1" s="482"/>
      <c r="D1" s="482"/>
      <c r="E1" s="482"/>
      <c r="F1" s="482"/>
      <c r="G1" s="482"/>
      <c r="H1" s="482"/>
      <c r="I1" s="482"/>
      <c r="J1" s="483"/>
    </row>
    <row r="2" spans="1:344" ht="44.85" customHeight="1" x14ac:dyDescent="0.3">
      <c r="B2" s="484"/>
      <c r="C2" s="485"/>
      <c r="D2" s="485"/>
      <c r="E2" s="485"/>
      <c r="F2" s="485"/>
      <c r="G2" s="485"/>
      <c r="H2" s="485"/>
      <c r="I2" s="485"/>
      <c r="J2" s="486"/>
    </row>
    <row r="3" spans="1:344" ht="12.2" customHeight="1" x14ac:dyDescent="0.3">
      <c r="B3" s="484"/>
      <c r="C3" s="485"/>
      <c r="D3" s="485"/>
      <c r="E3" s="485"/>
      <c r="F3" s="485"/>
      <c r="G3" s="485"/>
      <c r="H3" s="485"/>
      <c r="I3" s="485"/>
      <c r="J3" s="486"/>
    </row>
    <row r="4" spans="1:344" ht="6.75" customHeight="1" thickBot="1" x14ac:dyDescent="0.35">
      <c r="B4" s="484"/>
      <c r="C4" s="485"/>
      <c r="D4" s="485"/>
      <c r="E4" s="485"/>
      <c r="F4" s="485"/>
      <c r="G4" s="485"/>
      <c r="H4" s="485"/>
      <c r="I4" s="485"/>
      <c r="J4" s="486"/>
    </row>
    <row r="5" spans="1:344" s="262" customFormat="1" ht="24" customHeight="1" thickBot="1" x14ac:dyDescent="0.35">
      <c r="A5" s="259"/>
      <c r="B5" s="487" t="s">
        <v>198</v>
      </c>
      <c r="C5" s="488"/>
      <c r="D5" s="488"/>
      <c r="E5" s="488"/>
      <c r="F5" s="488"/>
      <c r="G5" s="488"/>
      <c r="H5" s="488"/>
      <c r="I5" s="489"/>
      <c r="J5" s="261">
        <f>+[46]PTO!G29</f>
        <v>395131098</v>
      </c>
      <c r="K5" s="260"/>
      <c r="L5" s="260"/>
      <c r="M5" s="260"/>
      <c r="N5" s="260"/>
      <c r="O5" s="260"/>
      <c r="P5" s="260"/>
      <c r="Q5" s="260"/>
      <c r="R5" s="260"/>
      <c r="S5" s="260"/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60"/>
      <c r="AE5" s="260"/>
      <c r="AF5" s="260"/>
      <c r="AG5" s="260"/>
      <c r="AH5" s="260"/>
      <c r="AI5" s="260"/>
      <c r="AJ5" s="260"/>
      <c r="AK5" s="260"/>
      <c r="AL5" s="260"/>
      <c r="AM5" s="260"/>
      <c r="AN5" s="260"/>
      <c r="AO5" s="260"/>
      <c r="AP5" s="260"/>
      <c r="AQ5" s="260"/>
      <c r="AR5" s="260"/>
      <c r="AS5" s="260"/>
      <c r="AT5" s="260"/>
      <c r="AU5" s="260"/>
      <c r="AV5" s="260"/>
      <c r="AW5" s="260"/>
      <c r="AX5" s="260"/>
      <c r="AY5" s="260"/>
      <c r="AZ5" s="260"/>
      <c r="BA5" s="260"/>
      <c r="BB5" s="260"/>
      <c r="BC5" s="260"/>
      <c r="BD5" s="260"/>
      <c r="BE5" s="260"/>
      <c r="BF5" s="260"/>
      <c r="BG5" s="260"/>
      <c r="BH5" s="260"/>
      <c r="BI5" s="260"/>
      <c r="BJ5" s="260"/>
      <c r="BK5" s="260"/>
      <c r="BL5" s="260"/>
      <c r="BM5" s="260"/>
      <c r="BN5" s="260"/>
      <c r="BO5" s="260"/>
      <c r="BP5" s="260"/>
      <c r="BQ5" s="260"/>
      <c r="BR5" s="260"/>
      <c r="BS5" s="260"/>
      <c r="BT5" s="260"/>
      <c r="BU5" s="260"/>
      <c r="BV5" s="260"/>
      <c r="BW5" s="260"/>
      <c r="BX5" s="260"/>
      <c r="BY5" s="260"/>
      <c r="BZ5" s="260"/>
      <c r="CA5" s="260"/>
      <c r="CB5" s="260"/>
      <c r="CC5" s="260"/>
      <c r="CD5" s="260"/>
      <c r="CE5" s="260"/>
      <c r="CF5" s="260"/>
      <c r="CG5" s="260"/>
      <c r="CH5" s="260"/>
      <c r="CI5" s="260"/>
      <c r="CJ5" s="260"/>
      <c r="CK5" s="260"/>
      <c r="CL5" s="260"/>
      <c r="CM5" s="260"/>
      <c r="CN5" s="260"/>
      <c r="CO5" s="260"/>
      <c r="CP5" s="260"/>
      <c r="CQ5" s="260"/>
      <c r="CR5" s="260"/>
      <c r="CS5" s="260"/>
      <c r="CT5" s="260"/>
      <c r="CU5" s="260"/>
      <c r="CV5" s="260"/>
      <c r="CW5" s="260"/>
      <c r="CX5" s="260"/>
      <c r="CY5" s="260"/>
      <c r="CZ5" s="260"/>
      <c r="DA5" s="260"/>
      <c r="DB5" s="260"/>
      <c r="DC5" s="260"/>
      <c r="DD5" s="260"/>
      <c r="DE5" s="260"/>
      <c r="DF5" s="260"/>
      <c r="DG5" s="260"/>
      <c r="DH5" s="260"/>
      <c r="DI5" s="260"/>
      <c r="DJ5" s="260"/>
      <c r="DK5" s="260"/>
      <c r="DL5" s="260"/>
      <c r="DM5" s="260"/>
      <c r="DN5" s="260"/>
      <c r="DO5" s="260"/>
      <c r="DP5" s="260"/>
      <c r="DQ5" s="260"/>
      <c r="DR5" s="260"/>
      <c r="DS5" s="260"/>
      <c r="DT5" s="260"/>
      <c r="DU5" s="260"/>
      <c r="DV5" s="260"/>
      <c r="DW5" s="260"/>
      <c r="DX5" s="260"/>
      <c r="DY5" s="260"/>
      <c r="DZ5" s="260"/>
      <c r="EA5" s="260"/>
      <c r="EB5" s="260"/>
      <c r="EC5" s="260"/>
      <c r="ED5" s="260"/>
      <c r="EE5" s="260"/>
      <c r="EF5" s="260"/>
      <c r="EG5" s="260"/>
      <c r="EH5" s="260"/>
      <c r="EI5" s="260"/>
      <c r="EJ5" s="260"/>
      <c r="EK5" s="260"/>
      <c r="EL5" s="260"/>
      <c r="EM5" s="260"/>
      <c r="EN5" s="260"/>
      <c r="EO5" s="260"/>
      <c r="EP5" s="260"/>
      <c r="EQ5" s="260"/>
      <c r="ER5" s="260"/>
      <c r="ES5" s="260"/>
      <c r="ET5" s="260"/>
      <c r="EU5" s="260"/>
      <c r="EV5" s="260"/>
      <c r="EW5" s="260"/>
      <c r="EX5" s="260"/>
      <c r="EY5" s="260"/>
      <c r="EZ5" s="260"/>
      <c r="FA5" s="260"/>
      <c r="FB5" s="260"/>
      <c r="FC5" s="260"/>
      <c r="FD5" s="260"/>
      <c r="FE5" s="260"/>
      <c r="FF5" s="260"/>
      <c r="FG5" s="260"/>
      <c r="FH5" s="260"/>
      <c r="FI5" s="260"/>
      <c r="FJ5" s="260"/>
      <c r="FK5" s="260"/>
      <c r="FL5" s="260"/>
      <c r="FM5" s="260"/>
      <c r="FN5" s="260"/>
      <c r="FO5" s="260"/>
      <c r="FP5" s="260"/>
      <c r="FQ5" s="260"/>
      <c r="FR5" s="260"/>
      <c r="FS5" s="260"/>
      <c r="FT5" s="260"/>
      <c r="FU5" s="260"/>
      <c r="FV5" s="260"/>
      <c r="FW5" s="260"/>
      <c r="FX5" s="260"/>
      <c r="FY5" s="260"/>
      <c r="FZ5" s="260"/>
      <c r="GA5" s="260"/>
      <c r="GB5" s="260"/>
      <c r="GC5" s="260"/>
      <c r="GD5" s="260"/>
      <c r="GE5" s="260"/>
      <c r="GF5" s="260"/>
      <c r="GG5" s="260"/>
      <c r="GH5" s="260"/>
      <c r="GI5" s="260"/>
      <c r="GJ5" s="260"/>
      <c r="GK5" s="260"/>
      <c r="GL5" s="260"/>
      <c r="GM5" s="260"/>
      <c r="GN5" s="260"/>
      <c r="GO5" s="260"/>
      <c r="GP5" s="260"/>
      <c r="GQ5" s="260"/>
      <c r="GR5" s="260"/>
      <c r="GS5" s="260"/>
      <c r="GT5" s="260"/>
      <c r="GU5" s="260"/>
      <c r="GV5" s="260"/>
      <c r="GW5" s="260"/>
      <c r="GX5" s="260"/>
      <c r="GY5" s="260"/>
      <c r="GZ5" s="260"/>
      <c r="HA5" s="260"/>
      <c r="HB5" s="260"/>
      <c r="HC5" s="260"/>
      <c r="HD5" s="260"/>
      <c r="HE5" s="260"/>
      <c r="HF5" s="260"/>
      <c r="HG5" s="260"/>
      <c r="HH5" s="260"/>
      <c r="HI5" s="260"/>
      <c r="HJ5" s="260"/>
      <c r="HK5" s="260"/>
      <c r="HL5" s="260"/>
      <c r="HM5" s="260"/>
      <c r="HN5" s="260"/>
      <c r="HO5" s="260"/>
      <c r="HP5" s="260"/>
      <c r="HQ5" s="260"/>
      <c r="HR5" s="260"/>
      <c r="HS5" s="260"/>
      <c r="HT5" s="260"/>
      <c r="HU5" s="260"/>
      <c r="HV5" s="260"/>
      <c r="HW5" s="260"/>
      <c r="HX5" s="260"/>
      <c r="HY5" s="260"/>
      <c r="HZ5" s="260"/>
      <c r="IA5" s="260"/>
      <c r="IB5" s="260"/>
      <c r="IC5" s="260"/>
      <c r="ID5" s="260"/>
      <c r="IE5" s="260"/>
      <c r="IF5" s="260"/>
      <c r="IG5" s="260"/>
      <c r="IH5" s="260"/>
      <c r="II5" s="260"/>
      <c r="IJ5" s="260"/>
      <c r="IK5" s="260"/>
      <c r="IL5" s="260"/>
      <c r="IM5" s="260"/>
      <c r="IN5" s="260"/>
      <c r="IO5" s="260"/>
      <c r="IP5" s="260"/>
      <c r="IQ5" s="260"/>
      <c r="IR5" s="260"/>
      <c r="IS5" s="260"/>
      <c r="IT5" s="260"/>
      <c r="IU5" s="260"/>
      <c r="IV5" s="260"/>
      <c r="IW5" s="260"/>
      <c r="IX5" s="260"/>
      <c r="IY5" s="260"/>
      <c r="IZ5" s="260"/>
      <c r="JA5" s="260"/>
      <c r="JB5" s="260"/>
      <c r="JC5" s="260"/>
      <c r="JD5" s="260"/>
      <c r="JE5" s="260"/>
      <c r="JF5" s="260"/>
      <c r="JG5" s="260"/>
      <c r="JH5" s="260"/>
      <c r="JI5" s="260"/>
      <c r="JJ5" s="260"/>
      <c r="JK5" s="260"/>
      <c r="JL5" s="260"/>
      <c r="JM5" s="260"/>
      <c r="JN5" s="260"/>
      <c r="JO5" s="260"/>
      <c r="JP5" s="260"/>
      <c r="JQ5" s="260"/>
      <c r="JR5" s="260"/>
      <c r="JS5" s="260"/>
      <c r="JT5" s="260"/>
      <c r="JU5" s="260"/>
      <c r="JV5" s="260"/>
      <c r="JW5" s="260"/>
      <c r="JX5" s="260"/>
      <c r="JY5" s="260"/>
      <c r="JZ5" s="260"/>
      <c r="KA5" s="260"/>
      <c r="KB5" s="260"/>
      <c r="KC5" s="260"/>
      <c r="KD5" s="260"/>
      <c r="KE5" s="260"/>
      <c r="KF5" s="260"/>
      <c r="KG5" s="260"/>
      <c r="KH5" s="260"/>
      <c r="KI5" s="260"/>
      <c r="KJ5" s="260"/>
      <c r="KK5" s="260"/>
      <c r="KL5" s="260"/>
      <c r="KM5" s="260"/>
      <c r="KN5" s="260"/>
      <c r="KO5" s="260"/>
      <c r="KP5" s="260"/>
      <c r="KQ5" s="260"/>
      <c r="KR5" s="260"/>
      <c r="KS5" s="260"/>
      <c r="KT5" s="260"/>
      <c r="KU5" s="260"/>
      <c r="KV5" s="260"/>
      <c r="KW5" s="260"/>
      <c r="KX5" s="260"/>
      <c r="KY5" s="260"/>
      <c r="KZ5" s="260"/>
      <c r="LA5" s="260"/>
      <c r="LB5" s="260"/>
      <c r="LC5" s="260"/>
      <c r="LD5" s="260"/>
      <c r="LE5" s="260"/>
      <c r="LF5" s="260"/>
      <c r="LG5" s="260"/>
      <c r="LH5" s="260"/>
      <c r="LI5" s="260"/>
      <c r="LJ5" s="260"/>
      <c r="LK5" s="260"/>
      <c r="LL5" s="260"/>
      <c r="LM5" s="260"/>
      <c r="LN5" s="260"/>
      <c r="LO5" s="260"/>
      <c r="LP5" s="260"/>
      <c r="LQ5" s="260"/>
      <c r="LR5" s="260"/>
      <c r="LS5" s="260"/>
      <c r="LT5" s="260"/>
      <c r="LU5" s="260"/>
      <c r="LV5" s="260"/>
      <c r="LW5" s="260"/>
      <c r="LX5" s="260"/>
      <c r="LY5" s="260"/>
      <c r="LZ5" s="260"/>
      <c r="MA5" s="260"/>
      <c r="MB5" s="260"/>
      <c r="MC5" s="260"/>
      <c r="MD5" s="260"/>
      <c r="ME5" s="260"/>
      <c r="MF5" s="260"/>
    </row>
    <row r="6" spans="1:344" s="262" customFormat="1" ht="25.9" customHeight="1" x14ac:dyDescent="0.3">
      <c r="A6" s="259"/>
      <c r="B6" s="490" t="s">
        <v>199</v>
      </c>
      <c r="C6" s="491"/>
      <c r="D6" s="491"/>
      <c r="E6" s="491"/>
      <c r="F6" s="491"/>
      <c r="G6" s="491"/>
      <c r="H6" s="491"/>
      <c r="I6" s="491"/>
      <c r="J6" s="492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0"/>
      <c r="AG6" s="260"/>
      <c r="AH6" s="260"/>
      <c r="AI6" s="260"/>
      <c r="AJ6" s="260"/>
      <c r="AK6" s="260"/>
      <c r="AL6" s="260"/>
      <c r="AM6" s="260"/>
      <c r="AN6" s="260"/>
      <c r="AO6" s="260"/>
      <c r="AP6" s="260"/>
      <c r="AQ6" s="260"/>
      <c r="AR6" s="260"/>
      <c r="AS6" s="260"/>
      <c r="AT6" s="260"/>
      <c r="AU6" s="260"/>
      <c r="AV6" s="260"/>
      <c r="AW6" s="260"/>
      <c r="AX6" s="260"/>
      <c r="AY6" s="260"/>
      <c r="AZ6" s="260"/>
      <c r="BA6" s="260"/>
      <c r="BB6" s="260"/>
      <c r="BC6" s="260"/>
      <c r="BD6" s="260"/>
      <c r="BE6" s="260"/>
      <c r="BF6" s="260"/>
      <c r="BG6" s="260"/>
      <c r="BH6" s="260"/>
      <c r="BI6" s="260"/>
      <c r="BJ6" s="260"/>
      <c r="BK6" s="260"/>
      <c r="BL6" s="260"/>
      <c r="BM6" s="260"/>
      <c r="BN6" s="260"/>
      <c r="BO6" s="260"/>
      <c r="BP6" s="260"/>
      <c r="BQ6" s="260"/>
      <c r="BR6" s="260"/>
      <c r="BS6" s="260"/>
      <c r="BT6" s="260"/>
      <c r="BU6" s="260"/>
      <c r="BV6" s="260"/>
      <c r="BW6" s="260"/>
      <c r="BX6" s="260"/>
      <c r="BY6" s="260"/>
      <c r="BZ6" s="260"/>
      <c r="CA6" s="260"/>
      <c r="CB6" s="260"/>
      <c r="CC6" s="260"/>
      <c r="CD6" s="260"/>
      <c r="CE6" s="260"/>
      <c r="CF6" s="260"/>
      <c r="CG6" s="260"/>
      <c r="CH6" s="260"/>
      <c r="CI6" s="260"/>
      <c r="CJ6" s="260"/>
      <c r="CK6" s="260"/>
      <c r="CL6" s="260"/>
      <c r="CM6" s="260"/>
      <c r="CN6" s="260"/>
      <c r="CO6" s="260"/>
      <c r="CP6" s="260"/>
      <c r="CQ6" s="260"/>
      <c r="CR6" s="260"/>
      <c r="CS6" s="260"/>
      <c r="CT6" s="260"/>
      <c r="CU6" s="260"/>
      <c r="CV6" s="260"/>
      <c r="CW6" s="260"/>
      <c r="CX6" s="260"/>
      <c r="CY6" s="260"/>
      <c r="CZ6" s="260"/>
      <c r="DA6" s="260"/>
      <c r="DB6" s="260"/>
      <c r="DC6" s="260"/>
      <c r="DD6" s="260"/>
      <c r="DE6" s="260"/>
      <c r="DF6" s="260"/>
      <c r="DG6" s="260"/>
      <c r="DH6" s="260"/>
      <c r="DI6" s="260"/>
      <c r="DJ6" s="260"/>
      <c r="DK6" s="260"/>
      <c r="DL6" s="260"/>
      <c r="DM6" s="260"/>
      <c r="DN6" s="260"/>
      <c r="DO6" s="260"/>
      <c r="DP6" s="260"/>
      <c r="DQ6" s="260"/>
      <c r="DR6" s="260"/>
      <c r="DS6" s="260"/>
      <c r="DT6" s="260"/>
      <c r="DU6" s="260"/>
      <c r="DV6" s="260"/>
      <c r="DW6" s="260"/>
      <c r="DX6" s="260"/>
      <c r="DY6" s="260"/>
      <c r="DZ6" s="260"/>
      <c r="EA6" s="260"/>
      <c r="EB6" s="260"/>
      <c r="EC6" s="260"/>
      <c r="ED6" s="260"/>
      <c r="EE6" s="260"/>
      <c r="EF6" s="260"/>
      <c r="EG6" s="260"/>
      <c r="EH6" s="260"/>
      <c r="EI6" s="260"/>
      <c r="EJ6" s="260"/>
      <c r="EK6" s="260"/>
      <c r="EL6" s="260"/>
      <c r="EM6" s="260"/>
      <c r="EN6" s="260"/>
      <c r="EO6" s="260"/>
      <c r="EP6" s="260"/>
      <c r="EQ6" s="260"/>
      <c r="ER6" s="260"/>
      <c r="ES6" s="260"/>
      <c r="ET6" s="260"/>
      <c r="EU6" s="260"/>
      <c r="EV6" s="260"/>
      <c r="EW6" s="260"/>
      <c r="EX6" s="260"/>
      <c r="EY6" s="260"/>
      <c r="EZ6" s="260"/>
      <c r="FA6" s="260"/>
      <c r="FB6" s="260"/>
      <c r="FC6" s="260"/>
      <c r="FD6" s="260"/>
      <c r="FE6" s="260"/>
      <c r="FF6" s="260"/>
      <c r="FG6" s="260"/>
      <c r="FH6" s="260"/>
      <c r="FI6" s="260"/>
      <c r="FJ6" s="260"/>
      <c r="FK6" s="260"/>
      <c r="FL6" s="260"/>
      <c r="FM6" s="260"/>
      <c r="FN6" s="260"/>
      <c r="FO6" s="260"/>
      <c r="FP6" s="260"/>
      <c r="FQ6" s="260"/>
      <c r="FR6" s="260"/>
      <c r="FS6" s="260"/>
      <c r="FT6" s="260"/>
      <c r="FU6" s="260"/>
      <c r="FV6" s="260"/>
      <c r="FW6" s="260"/>
      <c r="FX6" s="260"/>
      <c r="FY6" s="260"/>
      <c r="FZ6" s="260"/>
      <c r="GA6" s="260"/>
      <c r="GB6" s="260"/>
      <c r="GC6" s="260"/>
      <c r="GD6" s="260"/>
      <c r="GE6" s="260"/>
      <c r="GF6" s="260"/>
      <c r="GG6" s="260"/>
      <c r="GH6" s="260"/>
      <c r="GI6" s="260"/>
      <c r="GJ6" s="260"/>
      <c r="GK6" s="260"/>
      <c r="GL6" s="260"/>
      <c r="GM6" s="260"/>
      <c r="GN6" s="260"/>
      <c r="GO6" s="260"/>
      <c r="GP6" s="260"/>
      <c r="GQ6" s="260"/>
      <c r="GR6" s="260"/>
      <c r="GS6" s="260"/>
      <c r="GT6" s="260"/>
      <c r="GU6" s="260"/>
      <c r="GV6" s="260"/>
      <c r="GW6" s="260"/>
      <c r="GX6" s="260"/>
      <c r="GY6" s="260"/>
      <c r="GZ6" s="260"/>
      <c r="HA6" s="260"/>
      <c r="HB6" s="260"/>
      <c r="HC6" s="260"/>
      <c r="HD6" s="260"/>
      <c r="HE6" s="260"/>
      <c r="HF6" s="260"/>
      <c r="HG6" s="260"/>
      <c r="HH6" s="260"/>
      <c r="HI6" s="260"/>
      <c r="HJ6" s="260"/>
      <c r="HK6" s="260"/>
      <c r="HL6" s="260"/>
      <c r="HM6" s="260"/>
      <c r="HN6" s="260"/>
      <c r="HO6" s="260"/>
      <c r="HP6" s="260"/>
      <c r="HQ6" s="260"/>
      <c r="HR6" s="260"/>
      <c r="HS6" s="260"/>
      <c r="HT6" s="260"/>
      <c r="HU6" s="260"/>
      <c r="HV6" s="260"/>
      <c r="HW6" s="260"/>
      <c r="HX6" s="260"/>
      <c r="HY6" s="260"/>
      <c r="HZ6" s="260"/>
      <c r="IA6" s="260"/>
      <c r="IB6" s="260"/>
      <c r="IC6" s="260"/>
      <c r="ID6" s="260"/>
      <c r="IE6" s="260"/>
      <c r="IF6" s="260"/>
      <c r="IG6" s="260"/>
      <c r="IH6" s="260"/>
      <c r="II6" s="260"/>
      <c r="IJ6" s="260"/>
      <c r="IK6" s="260"/>
      <c r="IL6" s="260"/>
      <c r="IM6" s="260"/>
      <c r="IN6" s="260"/>
      <c r="IO6" s="260"/>
      <c r="IP6" s="260"/>
      <c r="IQ6" s="260"/>
      <c r="IR6" s="260"/>
      <c r="IS6" s="260"/>
      <c r="IT6" s="260"/>
      <c r="IU6" s="260"/>
      <c r="IV6" s="260"/>
      <c r="IW6" s="260"/>
      <c r="IX6" s="260"/>
      <c r="IY6" s="260"/>
      <c r="IZ6" s="260"/>
      <c r="JA6" s="260"/>
      <c r="JB6" s="260"/>
      <c r="JC6" s="260"/>
      <c r="JD6" s="260"/>
      <c r="JE6" s="260"/>
      <c r="JF6" s="260"/>
      <c r="JG6" s="260"/>
      <c r="JH6" s="260"/>
      <c r="JI6" s="260"/>
      <c r="JJ6" s="260"/>
      <c r="JK6" s="260"/>
      <c r="JL6" s="260"/>
      <c r="JM6" s="260"/>
      <c r="JN6" s="260"/>
      <c r="JO6" s="260"/>
      <c r="JP6" s="260"/>
      <c r="JQ6" s="260"/>
      <c r="JR6" s="260"/>
      <c r="JS6" s="260"/>
      <c r="JT6" s="260"/>
      <c r="JU6" s="260"/>
      <c r="JV6" s="260"/>
      <c r="JW6" s="260"/>
      <c r="JX6" s="260"/>
      <c r="JY6" s="260"/>
      <c r="JZ6" s="260"/>
      <c r="KA6" s="260"/>
      <c r="KB6" s="260"/>
      <c r="KC6" s="260"/>
      <c r="KD6" s="260"/>
      <c r="KE6" s="260"/>
      <c r="KF6" s="260"/>
      <c r="KG6" s="260"/>
      <c r="KH6" s="260"/>
      <c r="KI6" s="260"/>
      <c r="KJ6" s="260"/>
      <c r="KK6" s="260"/>
      <c r="KL6" s="260"/>
      <c r="KM6" s="260"/>
      <c r="KN6" s="260"/>
      <c r="KO6" s="260"/>
      <c r="KP6" s="260"/>
      <c r="KQ6" s="260"/>
      <c r="KR6" s="260"/>
      <c r="KS6" s="260"/>
      <c r="KT6" s="260"/>
      <c r="KU6" s="260"/>
      <c r="KV6" s="260"/>
      <c r="KW6" s="260"/>
      <c r="KX6" s="260"/>
      <c r="KY6" s="260"/>
      <c r="KZ6" s="260"/>
      <c r="LA6" s="260"/>
      <c r="LB6" s="260"/>
      <c r="LC6" s="260"/>
      <c r="LD6" s="260"/>
      <c r="LE6" s="260"/>
      <c r="LF6" s="260"/>
      <c r="LG6" s="260"/>
      <c r="LH6" s="260"/>
      <c r="LI6" s="260"/>
      <c r="LJ6" s="260"/>
      <c r="LK6" s="260"/>
      <c r="LL6" s="260"/>
      <c r="LM6" s="260"/>
      <c r="LN6" s="260"/>
      <c r="LO6" s="260"/>
      <c r="LP6" s="260"/>
      <c r="LQ6" s="260"/>
      <c r="LR6" s="260"/>
      <c r="LS6" s="260"/>
      <c r="LT6" s="260"/>
      <c r="LU6" s="260"/>
      <c r="LV6" s="260"/>
      <c r="LW6" s="260"/>
      <c r="LX6" s="260"/>
      <c r="LY6" s="260"/>
      <c r="LZ6" s="260"/>
      <c r="MA6" s="260"/>
      <c r="MB6" s="260"/>
      <c r="MC6" s="260"/>
      <c r="MD6" s="260"/>
      <c r="ME6" s="260"/>
      <c r="MF6" s="260"/>
    </row>
    <row r="7" spans="1:344" s="262" customFormat="1" ht="31.9" customHeight="1" x14ac:dyDescent="0.3">
      <c r="A7" s="259"/>
      <c r="B7" s="263"/>
      <c r="C7" s="264" t="s">
        <v>2</v>
      </c>
      <c r="D7" s="265" t="s">
        <v>3</v>
      </c>
      <c r="E7" s="265" t="s">
        <v>200</v>
      </c>
      <c r="F7" s="265" t="s">
        <v>4</v>
      </c>
      <c r="G7" s="265" t="s">
        <v>201</v>
      </c>
      <c r="H7" s="265" t="s">
        <v>202</v>
      </c>
      <c r="I7" s="266" t="s">
        <v>203</v>
      </c>
      <c r="J7" s="267" t="s">
        <v>204</v>
      </c>
      <c r="K7" s="268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0"/>
      <c r="AE7" s="260"/>
      <c r="AF7" s="260"/>
      <c r="AG7" s="260"/>
      <c r="AH7" s="260"/>
      <c r="AI7" s="260"/>
      <c r="AJ7" s="260"/>
      <c r="AK7" s="260"/>
      <c r="AL7" s="260"/>
      <c r="AM7" s="260"/>
      <c r="AN7" s="260"/>
      <c r="AO7" s="260"/>
      <c r="AP7" s="260"/>
      <c r="AQ7" s="260"/>
      <c r="AR7" s="260"/>
      <c r="AS7" s="260"/>
      <c r="AT7" s="260"/>
      <c r="AU7" s="260"/>
      <c r="AV7" s="260"/>
      <c r="AW7" s="260"/>
      <c r="AX7" s="260"/>
      <c r="AY7" s="260"/>
      <c r="AZ7" s="260"/>
      <c r="BA7" s="260"/>
      <c r="BB7" s="260"/>
      <c r="BC7" s="260"/>
      <c r="BD7" s="260"/>
      <c r="BE7" s="260"/>
      <c r="BF7" s="260"/>
      <c r="BG7" s="260"/>
      <c r="BH7" s="260"/>
      <c r="BI7" s="260"/>
      <c r="BJ7" s="260"/>
      <c r="BK7" s="260"/>
      <c r="BL7" s="260"/>
      <c r="BM7" s="260"/>
      <c r="BN7" s="260"/>
      <c r="BO7" s="260"/>
      <c r="BP7" s="260"/>
      <c r="BQ7" s="260"/>
      <c r="BR7" s="260"/>
      <c r="BS7" s="260"/>
      <c r="BT7" s="260"/>
      <c r="BU7" s="260"/>
      <c r="BV7" s="260"/>
      <c r="BW7" s="260"/>
      <c r="BX7" s="260"/>
      <c r="BY7" s="260"/>
      <c r="BZ7" s="260"/>
      <c r="CA7" s="260"/>
      <c r="CB7" s="260"/>
      <c r="CC7" s="260"/>
      <c r="CD7" s="260"/>
      <c r="CE7" s="260"/>
      <c r="CF7" s="260"/>
      <c r="CG7" s="260"/>
      <c r="CH7" s="260"/>
      <c r="CI7" s="260"/>
      <c r="CJ7" s="260"/>
      <c r="CK7" s="260"/>
      <c r="CL7" s="260"/>
      <c r="CM7" s="260"/>
      <c r="CN7" s="260"/>
      <c r="CO7" s="260"/>
      <c r="CP7" s="260"/>
      <c r="CQ7" s="260"/>
      <c r="CR7" s="260"/>
      <c r="CS7" s="260"/>
      <c r="CT7" s="260"/>
      <c r="CU7" s="260"/>
      <c r="CV7" s="260"/>
      <c r="CW7" s="260"/>
      <c r="CX7" s="260"/>
      <c r="CY7" s="260"/>
      <c r="CZ7" s="260"/>
      <c r="DA7" s="260"/>
      <c r="DB7" s="260"/>
      <c r="DC7" s="260"/>
      <c r="DD7" s="260"/>
      <c r="DE7" s="260"/>
      <c r="DF7" s="260"/>
      <c r="DG7" s="260"/>
      <c r="DH7" s="260"/>
      <c r="DI7" s="260"/>
      <c r="DJ7" s="260"/>
      <c r="DK7" s="260"/>
      <c r="DL7" s="260"/>
      <c r="DM7" s="260"/>
      <c r="DN7" s="260"/>
      <c r="DO7" s="260"/>
      <c r="DP7" s="260"/>
      <c r="DQ7" s="260"/>
      <c r="DR7" s="260"/>
      <c r="DS7" s="260"/>
      <c r="DT7" s="260"/>
      <c r="DU7" s="260"/>
      <c r="DV7" s="260"/>
      <c r="DW7" s="260"/>
      <c r="DX7" s="260"/>
      <c r="DY7" s="260"/>
      <c r="DZ7" s="260"/>
      <c r="EA7" s="260"/>
      <c r="EB7" s="260"/>
      <c r="EC7" s="260"/>
      <c r="ED7" s="260"/>
      <c r="EE7" s="260"/>
      <c r="EF7" s="260"/>
      <c r="EG7" s="260"/>
      <c r="EH7" s="260"/>
      <c r="EI7" s="260"/>
      <c r="EJ7" s="260"/>
      <c r="EK7" s="260"/>
      <c r="EL7" s="260"/>
      <c r="EM7" s="260"/>
      <c r="EN7" s="260"/>
      <c r="EO7" s="260"/>
      <c r="EP7" s="260"/>
      <c r="EQ7" s="260"/>
      <c r="ER7" s="260"/>
      <c r="ES7" s="260"/>
      <c r="ET7" s="260"/>
      <c r="EU7" s="260"/>
      <c r="EV7" s="260"/>
      <c r="EW7" s="260"/>
      <c r="EX7" s="260"/>
      <c r="EY7" s="260"/>
      <c r="EZ7" s="260"/>
      <c r="FA7" s="260"/>
      <c r="FB7" s="260"/>
      <c r="FC7" s="260"/>
      <c r="FD7" s="260"/>
      <c r="FE7" s="260"/>
      <c r="FF7" s="260"/>
      <c r="FG7" s="260"/>
      <c r="FH7" s="260"/>
      <c r="FI7" s="260"/>
      <c r="FJ7" s="260"/>
      <c r="FK7" s="260"/>
      <c r="FL7" s="260"/>
      <c r="FM7" s="260"/>
      <c r="FN7" s="260"/>
      <c r="FO7" s="260"/>
      <c r="FP7" s="260"/>
      <c r="FQ7" s="260"/>
      <c r="FR7" s="260"/>
      <c r="FS7" s="260"/>
      <c r="FT7" s="260"/>
      <c r="FU7" s="260"/>
      <c r="FV7" s="260"/>
      <c r="FW7" s="260"/>
      <c r="FX7" s="260"/>
      <c r="FY7" s="260"/>
      <c r="FZ7" s="260"/>
      <c r="GA7" s="260"/>
      <c r="GB7" s="260"/>
      <c r="GC7" s="260"/>
      <c r="GD7" s="260"/>
      <c r="GE7" s="260"/>
      <c r="GF7" s="260"/>
      <c r="GG7" s="260"/>
      <c r="GH7" s="260"/>
      <c r="GI7" s="260"/>
      <c r="GJ7" s="260"/>
      <c r="GK7" s="260"/>
      <c r="GL7" s="260"/>
      <c r="GM7" s="260"/>
      <c r="GN7" s="260"/>
      <c r="GO7" s="260"/>
      <c r="GP7" s="260"/>
      <c r="GQ7" s="260"/>
      <c r="GR7" s="260"/>
      <c r="GS7" s="260"/>
      <c r="GT7" s="260"/>
      <c r="GU7" s="260"/>
      <c r="GV7" s="260"/>
      <c r="GW7" s="260"/>
      <c r="GX7" s="260"/>
      <c r="GY7" s="260"/>
      <c r="GZ7" s="260"/>
      <c r="HA7" s="260"/>
      <c r="HB7" s="260"/>
      <c r="HC7" s="260"/>
      <c r="HD7" s="260"/>
      <c r="HE7" s="260"/>
      <c r="HF7" s="260"/>
      <c r="HG7" s="260"/>
      <c r="HH7" s="260"/>
      <c r="HI7" s="260"/>
      <c r="HJ7" s="260"/>
      <c r="HK7" s="260"/>
      <c r="HL7" s="260"/>
      <c r="HM7" s="260"/>
      <c r="HN7" s="260"/>
      <c r="HO7" s="260"/>
      <c r="HP7" s="260"/>
      <c r="HQ7" s="260"/>
      <c r="HR7" s="260"/>
      <c r="HS7" s="260"/>
      <c r="HT7" s="260"/>
      <c r="HU7" s="260"/>
      <c r="HV7" s="260"/>
      <c r="HW7" s="260"/>
      <c r="HX7" s="260"/>
      <c r="HY7" s="260"/>
      <c r="HZ7" s="260"/>
      <c r="IA7" s="260"/>
      <c r="IB7" s="260"/>
      <c r="IC7" s="260"/>
      <c r="ID7" s="260"/>
      <c r="IE7" s="260"/>
      <c r="IF7" s="260"/>
      <c r="IG7" s="260"/>
      <c r="IH7" s="260"/>
      <c r="II7" s="260"/>
      <c r="IJ7" s="260"/>
      <c r="IK7" s="260"/>
      <c r="IL7" s="260"/>
      <c r="IM7" s="260"/>
      <c r="IN7" s="260"/>
      <c r="IO7" s="260"/>
      <c r="IP7" s="260"/>
      <c r="IQ7" s="260"/>
      <c r="IR7" s="260"/>
      <c r="IS7" s="260"/>
      <c r="IT7" s="260"/>
      <c r="IU7" s="260"/>
      <c r="IV7" s="260"/>
      <c r="IW7" s="260"/>
      <c r="IX7" s="260"/>
      <c r="IY7" s="260"/>
      <c r="IZ7" s="260"/>
      <c r="JA7" s="260"/>
      <c r="JB7" s="260"/>
      <c r="JC7" s="260"/>
      <c r="JD7" s="260"/>
      <c r="JE7" s="260"/>
      <c r="JF7" s="260"/>
      <c r="JG7" s="260"/>
      <c r="JH7" s="260"/>
      <c r="JI7" s="260"/>
      <c r="JJ7" s="260"/>
      <c r="JK7" s="260"/>
      <c r="JL7" s="260"/>
      <c r="JM7" s="260"/>
      <c r="JN7" s="260"/>
      <c r="JO7" s="260"/>
      <c r="JP7" s="260"/>
      <c r="JQ7" s="260"/>
      <c r="JR7" s="260"/>
      <c r="JS7" s="260"/>
      <c r="JT7" s="260"/>
      <c r="JU7" s="260"/>
      <c r="JV7" s="260"/>
      <c r="JW7" s="260"/>
      <c r="JX7" s="260"/>
      <c r="JY7" s="260"/>
      <c r="JZ7" s="260"/>
      <c r="KA7" s="260"/>
      <c r="KB7" s="260"/>
      <c r="KC7" s="260"/>
      <c r="KD7" s="260"/>
      <c r="KE7" s="260"/>
      <c r="KF7" s="260"/>
      <c r="KG7" s="260"/>
      <c r="KH7" s="260"/>
      <c r="KI7" s="260"/>
      <c r="KJ7" s="260"/>
      <c r="KK7" s="260"/>
      <c r="KL7" s="260"/>
      <c r="KM7" s="260"/>
      <c r="KN7" s="260"/>
      <c r="KO7" s="260"/>
      <c r="KP7" s="260"/>
      <c r="KQ7" s="260"/>
      <c r="KR7" s="260"/>
      <c r="KS7" s="260"/>
      <c r="KT7" s="260"/>
      <c r="KU7" s="260"/>
      <c r="KV7" s="260"/>
      <c r="KW7" s="260"/>
      <c r="KX7" s="260"/>
      <c r="KY7" s="260"/>
      <c r="KZ7" s="260"/>
      <c r="LA7" s="260"/>
      <c r="LB7" s="260"/>
      <c r="LC7" s="260"/>
      <c r="LD7" s="260"/>
      <c r="LE7" s="260"/>
      <c r="LF7" s="260"/>
      <c r="LG7" s="260"/>
      <c r="LH7" s="260"/>
      <c r="LI7" s="260"/>
      <c r="LJ7" s="260"/>
      <c r="LK7" s="260"/>
      <c r="LL7" s="260"/>
      <c r="LM7" s="260"/>
      <c r="LN7" s="260"/>
      <c r="LO7" s="260"/>
      <c r="LP7" s="260"/>
      <c r="LQ7" s="260"/>
      <c r="LR7" s="260"/>
      <c r="LS7" s="260"/>
      <c r="LT7" s="260"/>
      <c r="LU7" s="260"/>
      <c r="LV7" s="260"/>
      <c r="LW7" s="260"/>
      <c r="LX7" s="260"/>
      <c r="LY7" s="260"/>
      <c r="LZ7" s="260"/>
      <c r="MA7" s="260"/>
      <c r="MB7" s="260"/>
      <c r="MC7" s="260"/>
      <c r="MD7" s="260"/>
      <c r="ME7" s="260"/>
      <c r="MF7" s="260"/>
    </row>
    <row r="8" spans="1:344" s="262" customFormat="1" x14ac:dyDescent="0.3">
      <c r="A8" s="259"/>
      <c r="B8" s="353">
        <v>1</v>
      </c>
      <c r="C8" s="354" t="s">
        <v>205</v>
      </c>
      <c r="D8" s="355"/>
      <c r="E8" s="355"/>
      <c r="F8" s="355"/>
      <c r="G8" s="355"/>
      <c r="H8" s="355"/>
      <c r="I8" s="355"/>
      <c r="J8" s="356">
        <f>SUM(J9:J10)</f>
        <v>12240000</v>
      </c>
      <c r="K8" s="260"/>
      <c r="L8" s="260"/>
      <c r="M8" s="260"/>
      <c r="N8" s="260"/>
      <c r="O8" s="260"/>
      <c r="P8" s="260"/>
      <c r="Q8" s="260"/>
      <c r="R8" s="260"/>
      <c r="S8" s="260"/>
      <c r="T8" s="260"/>
      <c r="U8" s="260"/>
      <c r="V8" s="260"/>
      <c r="W8" s="260"/>
      <c r="X8" s="260"/>
      <c r="Y8" s="260"/>
      <c r="Z8" s="260"/>
      <c r="AA8" s="260"/>
      <c r="AB8" s="260"/>
      <c r="AC8" s="260"/>
      <c r="AD8" s="260"/>
      <c r="AE8" s="260"/>
      <c r="AF8" s="260"/>
      <c r="AG8" s="260"/>
      <c r="AH8" s="260"/>
      <c r="AI8" s="260"/>
      <c r="AJ8" s="260"/>
      <c r="AK8" s="260"/>
      <c r="AL8" s="260"/>
      <c r="AM8" s="260"/>
      <c r="AN8" s="260"/>
      <c r="AO8" s="260"/>
      <c r="AP8" s="260"/>
      <c r="AQ8" s="260"/>
      <c r="AR8" s="260"/>
      <c r="AS8" s="260"/>
      <c r="AT8" s="260"/>
      <c r="AU8" s="260"/>
      <c r="AV8" s="260"/>
      <c r="AW8" s="260"/>
      <c r="AX8" s="260"/>
      <c r="AY8" s="260"/>
      <c r="AZ8" s="260"/>
      <c r="BA8" s="260"/>
      <c r="BB8" s="260"/>
      <c r="BC8" s="260"/>
      <c r="BD8" s="260"/>
      <c r="BE8" s="260"/>
      <c r="BF8" s="260"/>
      <c r="BG8" s="260"/>
      <c r="BH8" s="260"/>
      <c r="BI8" s="260"/>
      <c r="BJ8" s="260"/>
      <c r="BK8" s="260"/>
      <c r="BL8" s="260"/>
      <c r="BM8" s="260"/>
      <c r="BN8" s="260"/>
      <c r="BO8" s="260"/>
      <c r="BP8" s="260"/>
      <c r="BQ8" s="260"/>
      <c r="BR8" s="260"/>
      <c r="BS8" s="260"/>
      <c r="BT8" s="260"/>
      <c r="BU8" s="260"/>
      <c r="BV8" s="260"/>
      <c r="BW8" s="260"/>
      <c r="BX8" s="260"/>
      <c r="BY8" s="260"/>
      <c r="BZ8" s="260"/>
      <c r="CA8" s="260"/>
      <c r="CB8" s="260"/>
      <c r="CC8" s="260"/>
      <c r="CD8" s="260"/>
      <c r="CE8" s="260"/>
      <c r="CF8" s="260"/>
      <c r="CG8" s="260"/>
      <c r="CH8" s="260"/>
      <c r="CI8" s="260"/>
      <c r="CJ8" s="260"/>
      <c r="CK8" s="260"/>
      <c r="CL8" s="260"/>
      <c r="CM8" s="260"/>
      <c r="CN8" s="260"/>
      <c r="CO8" s="260"/>
      <c r="CP8" s="260"/>
      <c r="CQ8" s="260"/>
      <c r="CR8" s="260"/>
      <c r="CS8" s="260"/>
      <c r="CT8" s="260"/>
      <c r="CU8" s="260"/>
      <c r="CV8" s="260"/>
      <c r="CW8" s="260"/>
      <c r="CX8" s="260"/>
      <c r="CY8" s="260"/>
      <c r="CZ8" s="260"/>
      <c r="DA8" s="260"/>
      <c r="DB8" s="260"/>
      <c r="DC8" s="260"/>
      <c r="DD8" s="260"/>
      <c r="DE8" s="260"/>
      <c r="DF8" s="260"/>
      <c r="DG8" s="260"/>
      <c r="DH8" s="260"/>
      <c r="DI8" s="260"/>
      <c r="DJ8" s="260"/>
      <c r="DK8" s="260"/>
      <c r="DL8" s="260"/>
      <c r="DM8" s="260"/>
      <c r="DN8" s="260"/>
      <c r="DO8" s="260"/>
      <c r="DP8" s="260"/>
      <c r="DQ8" s="260"/>
      <c r="DR8" s="260"/>
      <c r="DS8" s="260"/>
      <c r="DT8" s="260"/>
      <c r="DU8" s="260"/>
      <c r="DV8" s="260"/>
      <c r="DW8" s="260"/>
      <c r="DX8" s="260"/>
      <c r="DY8" s="260"/>
      <c r="DZ8" s="260"/>
      <c r="EA8" s="260"/>
      <c r="EB8" s="260"/>
      <c r="EC8" s="260"/>
      <c r="ED8" s="260"/>
      <c r="EE8" s="260"/>
      <c r="EF8" s="260"/>
      <c r="EG8" s="260"/>
      <c r="EH8" s="260"/>
      <c r="EI8" s="260"/>
      <c r="EJ8" s="260"/>
      <c r="EK8" s="260"/>
      <c r="EL8" s="260"/>
      <c r="EM8" s="260"/>
      <c r="EN8" s="260"/>
      <c r="EO8" s="260"/>
      <c r="EP8" s="260"/>
      <c r="EQ8" s="260"/>
      <c r="ER8" s="260"/>
      <c r="ES8" s="260"/>
      <c r="ET8" s="260"/>
      <c r="EU8" s="260"/>
      <c r="EV8" s="260"/>
      <c r="EW8" s="260"/>
      <c r="EX8" s="260"/>
      <c r="EY8" s="260"/>
      <c r="EZ8" s="260"/>
      <c r="FA8" s="260"/>
      <c r="FB8" s="260"/>
      <c r="FC8" s="260"/>
      <c r="FD8" s="260"/>
      <c r="FE8" s="260"/>
      <c r="FF8" s="260"/>
      <c r="FG8" s="260"/>
      <c r="FH8" s="260"/>
      <c r="FI8" s="260"/>
      <c r="FJ8" s="260"/>
      <c r="FK8" s="260"/>
      <c r="FL8" s="260"/>
      <c r="FM8" s="260"/>
      <c r="FN8" s="260"/>
      <c r="FO8" s="260"/>
      <c r="FP8" s="260"/>
      <c r="FQ8" s="260"/>
      <c r="FR8" s="260"/>
      <c r="FS8" s="260"/>
      <c r="FT8" s="260"/>
      <c r="FU8" s="260"/>
      <c r="FV8" s="260"/>
      <c r="FW8" s="260"/>
      <c r="FX8" s="260"/>
      <c r="FY8" s="260"/>
      <c r="FZ8" s="260"/>
      <c r="GA8" s="260"/>
      <c r="GB8" s="260"/>
      <c r="GC8" s="260"/>
      <c r="GD8" s="260"/>
      <c r="GE8" s="260"/>
      <c r="GF8" s="260"/>
      <c r="GG8" s="260"/>
      <c r="GH8" s="260"/>
      <c r="GI8" s="260"/>
      <c r="GJ8" s="260"/>
      <c r="GK8" s="260"/>
      <c r="GL8" s="260"/>
      <c r="GM8" s="260"/>
      <c r="GN8" s="260"/>
      <c r="GO8" s="260"/>
      <c r="GP8" s="260"/>
      <c r="GQ8" s="260"/>
      <c r="GR8" s="260"/>
      <c r="GS8" s="260"/>
      <c r="GT8" s="260"/>
      <c r="GU8" s="260"/>
      <c r="GV8" s="260"/>
      <c r="GW8" s="260"/>
      <c r="GX8" s="260"/>
      <c r="GY8" s="260"/>
      <c r="GZ8" s="260"/>
      <c r="HA8" s="260"/>
      <c r="HB8" s="260"/>
      <c r="HC8" s="260"/>
      <c r="HD8" s="260"/>
      <c r="HE8" s="260"/>
      <c r="HF8" s="260"/>
      <c r="HG8" s="260"/>
      <c r="HH8" s="260"/>
      <c r="HI8" s="260"/>
      <c r="HJ8" s="260"/>
      <c r="HK8" s="260"/>
      <c r="HL8" s="260"/>
      <c r="HM8" s="260"/>
      <c r="HN8" s="260"/>
      <c r="HO8" s="260"/>
      <c r="HP8" s="260"/>
      <c r="HQ8" s="260"/>
      <c r="HR8" s="260"/>
      <c r="HS8" s="260"/>
      <c r="HT8" s="260"/>
      <c r="HU8" s="260"/>
      <c r="HV8" s="260"/>
      <c r="HW8" s="260"/>
      <c r="HX8" s="260"/>
      <c r="HY8" s="260"/>
      <c r="HZ8" s="260"/>
      <c r="IA8" s="260"/>
      <c r="IB8" s="260"/>
      <c r="IC8" s="260"/>
      <c r="ID8" s="260"/>
      <c r="IE8" s="260"/>
      <c r="IF8" s="260"/>
      <c r="IG8" s="260"/>
      <c r="IH8" s="260"/>
      <c r="II8" s="260"/>
      <c r="IJ8" s="260"/>
      <c r="IK8" s="260"/>
      <c r="IL8" s="260"/>
      <c r="IM8" s="260"/>
      <c r="IN8" s="260"/>
      <c r="IO8" s="260"/>
      <c r="IP8" s="260"/>
      <c r="IQ8" s="260"/>
      <c r="IR8" s="260"/>
      <c r="IS8" s="260"/>
      <c r="IT8" s="260"/>
      <c r="IU8" s="260"/>
      <c r="IV8" s="260"/>
      <c r="IW8" s="260"/>
      <c r="IX8" s="260"/>
      <c r="IY8" s="260"/>
      <c r="IZ8" s="260"/>
      <c r="JA8" s="260"/>
      <c r="JB8" s="260"/>
      <c r="JC8" s="260"/>
      <c r="JD8" s="260"/>
      <c r="JE8" s="260"/>
      <c r="JF8" s="260"/>
      <c r="JG8" s="260"/>
      <c r="JH8" s="260"/>
      <c r="JI8" s="260"/>
      <c r="JJ8" s="260"/>
      <c r="JK8" s="260"/>
      <c r="JL8" s="260"/>
      <c r="JM8" s="260"/>
      <c r="JN8" s="260"/>
      <c r="JO8" s="260"/>
      <c r="JP8" s="260"/>
      <c r="JQ8" s="260"/>
      <c r="JR8" s="260"/>
      <c r="JS8" s="260"/>
      <c r="JT8" s="260"/>
      <c r="JU8" s="260"/>
      <c r="JV8" s="260"/>
      <c r="JW8" s="260"/>
      <c r="JX8" s="260"/>
      <c r="JY8" s="260"/>
      <c r="JZ8" s="260"/>
      <c r="KA8" s="260"/>
      <c r="KB8" s="260"/>
      <c r="KC8" s="260"/>
      <c r="KD8" s="260"/>
      <c r="KE8" s="260"/>
      <c r="KF8" s="260"/>
      <c r="KG8" s="260"/>
      <c r="KH8" s="260"/>
      <c r="KI8" s="260"/>
      <c r="KJ8" s="260"/>
      <c r="KK8" s="260"/>
      <c r="KL8" s="260"/>
      <c r="KM8" s="260"/>
      <c r="KN8" s="260"/>
      <c r="KO8" s="260"/>
      <c r="KP8" s="260"/>
      <c r="KQ8" s="260"/>
      <c r="KR8" s="260"/>
      <c r="KS8" s="260"/>
      <c r="KT8" s="260"/>
      <c r="KU8" s="260"/>
      <c r="KV8" s="260"/>
      <c r="KW8" s="260"/>
      <c r="KX8" s="260"/>
      <c r="KY8" s="260"/>
      <c r="KZ8" s="260"/>
      <c r="LA8" s="260"/>
      <c r="LB8" s="260"/>
      <c r="LC8" s="260"/>
      <c r="LD8" s="260"/>
      <c r="LE8" s="260"/>
      <c r="LF8" s="260"/>
      <c r="LG8" s="260"/>
      <c r="LH8" s="260"/>
      <c r="LI8" s="260"/>
      <c r="LJ8" s="260"/>
      <c r="LK8" s="260"/>
      <c r="LL8" s="260"/>
      <c r="LM8" s="260"/>
      <c r="LN8" s="260"/>
      <c r="LO8" s="260"/>
      <c r="LP8" s="260"/>
      <c r="LQ8" s="260"/>
      <c r="LR8" s="260"/>
      <c r="LS8" s="260"/>
      <c r="LT8" s="260"/>
      <c r="LU8" s="260"/>
      <c r="LV8" s="260"/>
      <c r="LW8" s="260"/>
      <c r="LX8" s="260"/>
      <c r="LY8" s="260"/>
      <c r="LZ8" s="260"/>
      <c r="MA8" s="260"/>
      <c r="MB8" s="260"/>
      <c r="MC8" s="260"/>
      <c r="MD8" s="260"/>
      <c r="ME8" s="260"/>
      <c r="MF8" s="260"/>
    </row>
    <row r="9" spans="1:344" x14ac:dyDescent="0.3">
      <c r="B9" s="269" t="s">
        <v>206</v>
      </c>
      <c r="C9" s="270" t="s">
        <v>207</v>
      </c>
      <c r="D9" s="271" t="s">
        <v>208</v>
      </c>
      <c r="E9" s="272">
        <v>2</v>
      </c>
      <c r="F9" s="272">
        <v>1</v>
      </c>
      <c r="G9" s="273">
        <v>1.53</v>
      </c>
      <c r="H9" s="274">
        <v>0.3</v>
      </c>
      <c r="I9" s="275">
        <v>5000000</v>
      </c>
      <c r="J9" s="276">
        <f>E9*H9*I9*G9*F9</f>
        <v>4590000</v>
      </c>
      <c r="L9" s="277"/>
    </row>
    <row r="10" spans="1:344" x14ac:dyDescent="0.3">
      <c r="B10" s="269" t="s">
        <v>209</v>
      </c>
      <c r="C10" s="270" t="s">
        <v>210</v>
      </c>
      <c r="D10" s="271" t="s">
        <v>208</v>
      </c>
      <c r="E10" s="272">
        <v>2</v>
      </c>
      <c r="F10" s="272">
        <v>1</v>
      </c>
      <c r="G10" s="273">
        <v>1.53</v>
      </c>
      <c r="H10" s="274">
        <v>1</v>
      </c>
      <c r="I10" s="275">
        <v>2500000</v>
      </c>
      <c r="J10" s="276">
        <f t="shared" ref="J10" si="0">E10*H10*I10*G10*F10</f>
        <v>7650000</v>
      </c>
      <c r="L10" s="277"/>
    </row>
    <row r="11" spans="1:344" x14ac:dyDescent="0.3">
      <c r="B11" s="353">
        <v>2</v>
      </c>
      <c r="C11" s="354" t="s">
        <v>211</v>
      </c>
      <c r="D11" s="355"/>
      <c r="E11" s="355"/>
      <c r="F11" s="355"/>
      <c r="G11" s="355"/>
      <c r="H11" s="355"/>
      <c r="I11" s="355"/>
      <c r="J11" s="356">
        <f>SUM(J12:J13)</f>
        <v>5303821.6923054</v>
      </c>
      <c r="L11" s="277"/>
    </row>
    <row r="12" spans="1:344" x14ac:dyDescent="0.3">
      <c r="B12" s="269" t="s">
        <v>212</v>
      </c>
      <c r="C12" s="278" t="s">
        <v>213</v>
      </c>
      <c r="D12" s="271" t="s">
        <v>208</v>
      </c>
      <c r="E12" s="272">
        <v>2</v>
      </c>
      <c r="F12" s="272">
        <v>1</v>
      </c>
      <c r="G12" s="279"/>
      <c r="H12" s="274"/>
      <c r="I12" s="275">
        <v>1151910.8461527</v>
      </c>
      <c r="J12" s="276">
        <f>+I12*F12*E12</f>
        <v>2303821.6923054</v>
      </c>
      <c r="L12" s="277"/>
    </row>
    <row r="13" spans="1:344" x14ac:dyDescent="0.3">
      <c r="B13" s="269" t="s">
        <v>214</v>
      </c>
      <c r="C13" s="278" t="s">
        <v>215</v>
      </c>
      <c r="D13" s="271" t="s">
        <v>208</v>
      </c>
      <c r="E13" s="272">
        <v>2</v>
      </c>
      <c r="F13" s="272">
        <v>1</v>
      </c>
      <c r="G13" s="279"/>
      <c r="H13" s="274"/>
      <c r="I13" s="275">
        <v>1500000</v>
      </c>
      <c r="J13" s="276">
        <f>+I13*F13*E13</f>
        <v>3000000</v>
      </c>
      <c r="L13" s="277"/>
    </row>
    <row r="14" spans="1:344" s="262" customFormat="1" ht="27" customHeight="1" x14ac:dyDescent="0.3">
      <c r="A14" s="259"/>
      <c r="B14" s="353">
        <v>3</v>
      </c>
      <c r="C14" s="493" t="s">
        <v>216</v>
      </c>
      <c r="D14" s="494"/>
      <c r="E14" s="494"/>
      <c r="F14" s="494"/>
      <c r="G14" s="495"/>
      <c r="H14" s="355"/>
      <c r="I14" s="357"/>
      <c r="J14" s="356">
        <f>SUM(J15:J24)</f>
        <v>81238953.748799995</v>
      </c>
      <c r="K14" s="280"/>
      <c r="L14" s="281"/>
      <c r="M14" s="282"/>
      <c r="N14" s="260"/>
      <c r="O14" s="260"/>
      <c r="P14" s="260"/>
      <c r="Q14" s="260"/>
      <c r="R14" s="260"/>
      <c r="S14" s="260"/>
      <c r="T14" s="260"/>
      <c r="U14" s="260"/>
      <c r="V14" s="260"/>
      <c r="W14" s="260"/>
      <c r="X14" s="260"/>
      <c r="Y14" s="260"/>
      <c r="Z14" s="260"/>
      <c r="AA14" s="260"/>
      <c r="AB14" s="260"/>
      <c r="AC14" s="260"/>
      <c r="AD14" s="260"/>
      <c r="AE14" s="260"/>
      <c r="AF14" s="260"/>
      <c r="AG14" s="260"/>
      <c r="AH14" s="260"/>
      <c r="AI14" s="260"/>
      <c r="AJ14" s="260"/>
      <c r="AK14" s="260"/>
      <c r="AL14" s="260"/>
      <c r="AM14" s="260"/>
      <c r="AN14" s="260"/>
      <c r="AO14" s="260"/>
      <c r="AP14" s="260"/>
      <c r="AQ14" s="260"/>
      <c r="AR14" s="260"/>
      <c r="AS14" s="260"/>
      <c r="AT14" s="260"/>
      <c r="AU14" s="260"/>
      <c r="AV14" s="260"/>
      <c r="AW14" s="260"/>
      <c r="AX14" s="260"/>
      <c r="AY14" s="260"/>
      <c r="AZ14" s="260"/>
      <c r="BA14" s="260"/>
      <c r="BB14" s="260"/>
      <c r="BC14" s="260"/>
      <c r="BD14" s="260"/>
      <c r="BE14" s="260"/>
      <c r="BF14" s="260"/>
      <c r="BG14" s="260"/>
      <c r="BH14" s="260"/>
      <c r="BI14" s="260"/>
      <c r="BJ14" s="260"/>
      <c r="BK14" s="260"/>
      <c r="BL14" s="260"/>
      <c r="BM14" s="260"/>
      <c r="BN14" s="260"/>
      <c r="BO14" s="260"/>
      <c r="BP14" s="260"/>
      <c r="BQ14" s="260"/>
      <c r="BR14" s="260"/>
      <c r="BS14" s="260"/>
      <c r="BT14" s="260"/>
      <c r="BU14" s="260"/>
      <c r="BV14" s="260"/>
      <c r="BW14" s="260"/>
      <c r="BX14" s="260"/>
      <c r="BY14" s="260"/>
      <c r="BZ14" s="260"/>
      <c r="CA14" s="260"/>
      <c r="CB14" s="260"/>
      <c r="CC14" s="260"/>
      <c r="CD14" s="260"/>
      <c r="CE14" s="260"/>
      <c r="CF14" s="260"/>
      <c r="CG14" s="260"/>
      <c r="CH14" s="260"/>
      <c r="CI14" s="260"/>
      <c r="CJ14" s="260"/>
      <c r="CK14" s="260"/>
      <c r="CL14" s="260"/>
      <c r="CM14" s="260"/>
      <c r="CN14" s="260"/>
      <c r="CO14" s="260"/>
      <c r="CP14" s="260"/>
      <c r="CQ14" s="260"/>
      <c r="CR14" s="260"/>
      <c r="CS14" s="260"/>
      <c r="CT14" s="260"/>
      <c r="CU14" s="260"/>
      <c r="CV14" s="260"/>
      <c r="CW14" s="260"/>
      <c r="CX14" s="260"/>
      <c r="CY14" s="260"/>
      <c r="CZ14" s="260"/>
      <c r="DA14" s="260"/>
      <c r="DB14" s="260"/>
      <c r="DC14" s="260"/>
      <c r="DD14" s="260"/>
      <c r="DE14" s="260"/>
      <c r="DF14" s="260"/>
      <c r="DG14" s="260"/>
      <c r="DH14" s="260"/>
      <c r="DI14" s="260"/>
      <c r="DJ14" s="260"/>
      <c r="DK14" s="260"/>
      <c r="DL14" s="260"/>
      <c r="DM14" s="260"/>
      <c r="DN14" s="260"/>
      <c r="DO14" s="260"/>
      <c r="DP14" s="260"/>
      <c r="DQ14" s="260"/>
      <c r="DR14" s="260"/>
      <c r="DS14" s="260"/>
      <c r="DT14" s="260"/>
      <c r="DU14" s="260"/>
      <c r="DV14" s="260"/>
      <c r="DW14" s="260"/>
      <c r="DX14" s="260"/>
      <c r="DY14" s="260"/>
      <c r="DZ14" s="260"/>
      <c r="EA14" s="260"/>
      <c r="EB14" s="260"/>
      <c r="EC14" s="260"/>
      <c r="ED14" s="260"/>
      <c r="EE14" s="260"/>
      <c r="EF14" s="260"/>
      <c r="EG14" s="260"/>
      <c r="EH14" s="260"/>
      <c r="EI14" s="260"/>
      <c r="EJ14" s="260"/>
      <c r="EK14" s="260"/>
      <c r="EL14" s="260"/>
      <c r="EM14" s="260"/>
      <c r="EN14" s="260"/>
      <c r="EO14" s="260"/>
      <c r="EP14" s="260"/>
      <c r="EQ14" s="260"/>
      <c r="ER14" s="260"/>
      <c r="ES14" s="260"/>
      <c r="ET14" s="260"/>
      <c r="EU14" s="260"/>
      <c r="EV14" s="260"/>
      <c r="EW14" s="260"/>
      <c r="EX14" s="260"/>
      <c r="EY14" s="260"/>
      <c r="EZ14" s="260"/>
      <c r="FA14" s="260"/>
      <c r="FB14" s="260"/>
      <c r="FC14" s="260"/>
      <c r="FD14" s="260"/>
      <c r="FE14" s="260"/>
      <c r="FF14" s="260"/>
      <c r="FG14" s="260"/>
      <c r="FH14" s="260"/>
      <c r="FI14" s="260"/>
      <c r="FJ14" s="260"/>
      <c r="FK14" s="260"/>
      <c r="FL14" s="260"/>
      <c r="FM14" s="260"/>
      <c r="FN14" s="260"/>
      <c r="FO14" s="260"/>
      <c r="FP14" s="260"/>
      <c r="FQ14" s="260"/>
      <c r="FR14" s="260"/>
      <c r="FS14" s="260"/>
      <c r="FT14" s="260"/>
      <c r="FU14" s="260"/>
      <c r="FV14" s="260"/>
      <c r="FW14" s="260"/>
      <c r="FX14" s="260"/>
      <c r="FY14" s="260"/>
      <c r="FZ14" s="260"/>
      <c r="GA14" s="260"/>
      <c r="GB14" s="260"/>
      <c r="GC14" s="260"/>
      <c r="GD14" s="260"/>
      <c r="GE14" s="260"/>
      <c r="GF14" s="260"/>
      <c r="GG14" s="260"/>
      <c r="GH14" s="260"/>
      <c r="GI14" s="260"/>
      <c r="GJ14" s="260"/>
      <c r="GK14" s="260"/>
      <c r="GL14" s="260"/>
      <c r="GM14" s="260"/>
      <c r="GN14" s="260"/>
      <c r="GO14" s="260"/>
      <c r="GP14" s="260"/>
      <c r="GQ14" s="260"/>
      <c r="GR14" s="260"/>
      <c r="GS14" s="260"/>
      <c r="GT14" s="260"/>
      <c r="GU14" s="260"/>
      <c r="GV14" s="260"/>
      <c r="GW14" s="260"/>
      <c r="GX14" s="260"/>
      <c r="GY14" s="260"/>
      <c r="GZ14" s="260"/>
      <c r="HA14" s="260"/>
      <c r="HB14" s="260"/>
      <c r="HC14" s="260"/>
      <c r="HD14" s="260"/>
      <c r="HE14" s="260"/>
      <c r="HF14" s="260"/>
      <c r="HG14" s="260"/>
      <c r="HH14" s="260"/>
      <c r="HI14" s="260"/>
      <c r="HJ14" s="260"/>
      <c r="HK14" s="260"/>
      <c r="HL14" s="260"/>
      <c r="HM14" s="260"/>
      <c r="HN14" s="260"/>
      <c r="HO14" s="260"/>
      <c r="HP14" s="260"/>
      <c r="HQ14" s="260"/>
      <c r="HR14" s="260"/>
      <c r="HS14" s="260"/>
      <c r="HT14" s="260"/>
      <c r="HU14" s="260"/>
      <c r="HV14" s="260"/>
      <c r="HW14" s="260"/>
      <c r="HX14" s="260"/>
      <c r="HY14" s="260"/>
      <c r="HZ14" s="260"/>
      <c r="IA14" s="260"/>
      <c r="IB14" s="260"/>
      <c r="IC14" s="260"/>
      <c r="ID14" s="260"/>
      <c r="IE14" s="260"/>
      <c r="IF14" s="260"/>
      <c r="IG14" s="260"/>
      <c r="IH14" s="260"/>
      <c r="II14" s="260"/>
      <c r="IJ14" s="260"/>
      <c r="IK14" s="260"/>
      <c r="IL14" s="260"/>
      <c r="IM14" s="260"/>
      <c r="IN14" s="260"/>
      <c r="IO14" s="260"/>
      <c r="IP14" s="260"/>
      <c r="IQ14" s="260"/>
      <c r="IR14" s="260"/>
      <c r="IS14" s="260"/>
      <c r="IT14" s="260"/>
      <c r="IU14" s="260"/>
      <c r="IV14" s="260"/>
      <c r="IW14" s="260"/>
      <c r="IX14" s="260"/>
      <c r="IY14" s="260"/>
      <c r="IZ14" s="260"/>
      <c r="JA14" s="260"/>
      <c r="JB14" s="260"/>
      <c r="JC14" s="260"/>
      <c r="JD14" s="260"/>
      <c r="JE14" s="260"/>
      <c r="JF14" s="260"/>
      <c r="JG14" s="260"/>
      <c r="JH14" s="260"/>
      <c r="JI14" s="260"/>
      <c r="JJ14" s="260"/>
      <c r="JK14" s="260"/>
      <c r="JL14" s="260"/>
      <c r="JM14" s="260"/>
      <c r="JN14" s="260"/>
      <c r="JO14" s="260"/>
      <c r="JP14" s="260"/>
      <c r="JQ14" s="260"/>
      <c r="JR14" s="260"/>
      <c r="JS14" s="260"/>
      <c r="JT14" s="260"/>
      <c r="JU14" s="260"/>
      <c r="JV14" s="260"/>
      <c r="JW14" s="260"/>
      <c r="JX14" s="260"/>
      <c r="JY14" s="260"/>
      <c r="JZ14" s="260"/>
      <c r="KA14" s="260"/>
      <c r="KB14" s="260"/>
      <c r="KC14" s="260"/>
      <c r="KD14" s="260"/>
      <c r="KE14" s="260"/>
      <c r="KF14" s="260"/>
      <c r="KG14" s="260"/>
      <c r="KH14" s="260"/>
      <c r="KI14" s="260"/>
      <c r="KJ14" s="260"/>
      <c r="KK14" s="260"/>
      <c r="KL14" s="260"/>
      <c r="KM14" s="260"/>
      <c r="KN14" s="260"/>
      <c r="KO14" s="260"/>
      <c r="KP14" s="260"/>
      <c r="KQ14" s="260"/>
      <c r="KR14" s="260"/>
      <c r="KS14" s="260"/>
      <c r="KT14" s="260"/>
      <c r="KU14" s="260"/>
      <c r="KV14" s="260"/>
      <c r="KW14" s="260"/>
      <c r="KX14" s="260"/>
      <c r="KY14" s="260"/>
      <c r="KZ14" s="260"/>
      <c r="LA14" s="260"/>
      <c r="LB14" s="260"/>
      <c r="LC14" s="260"/>
      <c r="LD14" s="260"/>
      <c r="LE14" s="260"/>
      <c r="LF14" s="260"/>
      <c r="LG14" s="260"/>
      <c r="LH14" s="260"/>
      <c r="LI14" s="260"/>
      <c r="LJ14" s="260"/>
      <c r="LK14" s="260"/>
      <c r="LL14" s="260"/>
      <c r="LM14" s="260"/>
      <c r="LN14" s="260"/>
      <c r="LO14" s="260"/>
      <c r="LP14" s="260"/>
      <c r="LQ14" s="260"/>
      <c r="LR14" s="260"/>
      <c r="LS14" s="260"/>
      <c r="LT14" s="260"/>
      <c r="LU14" s="260"/>
      <c r="LV14" s="260"/>
      <c r="LW14" s="260"/>
      <c r="LX14" s="260"/>
      <c r="LY14" s="260"/>
      <c r="LZ14" s="260"/>
      <c r="MA14" s="260"/>
      <c r="MB14" s="260"/>
      <c r="MC14" s="260"/>
      <c r="MD14" s="260"/>
      <c r="ME14" s="260"/>
      <c r="MF14" s="260"/>
    </row>
    <row r="15" spans="1:344" x14ac:dyDescent="0.3">
      <c r="B15" s="283" t="s">
        <v>217</v>
      </c>
      <c r="C15" s="284" t="s">
        <v>218</v>
      </c>
      <c r="D15" s="271" t="s">
        <v>219</v>
      </c>
      <c r="E15" s="271">
        <v>1</v>
      </c>
      <c r="F15" s="271"/>
      <c r="G15" s="271"/>
      <c r="H15" s="285">
        <v>0.02</v>
      </c>
      <c r="I15" s="275"/>
      <c r="J15" s="276">
        <f t="shared" ref="J15:J24" si="1">I15</f>
        <v>0</v>
      </c>
      <c r="K15" s="286"/>
    </row>
    <row r="16" spans="1:344" x14ac:dyDescent="0.3">
      <c r="B16" s="283" t="s">
        <v>220</v>
      </c>
      <c r="C16" s="284" t="s">
        <v>221</v>
      </c>
      <c r="D16" s="271" t="s">
        <v>219</v>
      </c>
      <c r="E16" s="271">
        <v>1</v>
      </c>
      <c r="F16" s="271"/>
      <c r="G16" s="271"/>
      <c r="H16" s="285">
        <v>0.01</v>
      </c>
      <c r="I16" s="275">
        <f t="shared" ref="I16:I22" si="2">H16*$J$5</f>
        <v>3951310.98</v>
      </c>
      <c r="J16" s="276">
        <f t="shared" si="1"/>
        <v>3951310.98</v>
      </c>
      <c r="K16" s="287"/>
    </row>
    <row r="17" spans="1:344" x14ac:dyDescent="0.3">
      <c r="B17" s="283" t="s">
        <v>222</v>
      </c>
      <c r="C17" s="284" t="s">
        <v>223</v>
      </c>
      <c r="D17" s="271" t="s">
        <v>219</v>
      </c>
      <c r="E17" s="271">
        <v>1</v>
      </c>
      <c r="F17" s="271"/>
      <c r="G17" s="271"/>
      <c r="H17" s="285">
        <v>0.02</v>
      </c>
      <c r="I17" s="275">
        <f t="shared" si="2"/>
        <v>7902621.96</v>
      </c>
      <c r="J17" s="276">
        <f t="shared" si="1"/>
        <v>7902621.96</v>
      </c>
    </row>
    <row r="18" spans="1:344" x14ac:dyDescent="0.3">
      <c r="B18" s="283" t="s">
        <v>224</v>
      </c>
      <c r="C18" s="284" t="s">
        <v>225</v>
      </c>
      <c r="D18" s="271" t="s">
        <v>219</v>
      </c>
      <c r="E18" s="271">
        <v>1</v>
      </c>
      <c r="F18" s="271"/>
      <c r="G18" s="271"/>
      <c r="H18" s="285">
        <v>0.04</v>
      </c>
      <c r="I18" s="275">
        <f t="shared" si="2"/>
        <v>15805243.92</v>
      </c>
      <c r="J18" s="276">
        <f t="shared" si="1"/>
        <v>15805243.92</v>
      </c>
    </row>
    <row r="19" spans="1:344" x14ac:dyDescent="0.3">
      <c r="B19" s="283" t="s">
        <v>226</v>
      </c>
      <c r="C19" s="284" t="s">
        <v>227</v>
      </c>
      <c r="D19" s="271" t="s">
        <v>219</v>
      </c>
      <c r="E19" s="271">
        <v>1</v>
      </c>
      <c r="F19" s="271"/>
      <c r="G19" s="271"/>
      <c r="H19" s="285">
        <v>0.04</v>
      </c>
      <c r="I19" s="275">
        <f t="shared" si="2"/>
        <v>15805243.92</v>
      </c>
      <c r="J19" s="276">
        <f t="shared" si="1"/>
        <v>15805243.92</v>
      </c>
    </row>
    <row r="20" spans="1:344" x14ac:dyDescent="0.3">
      <c r="B20" s="283" t="s">
        <v>228</v>
      </c>
      <c r="C20" s="284" t="s">
        <v>229</v>
      </c>
      <c r="D20" s="271" t="s">
        <v>219</v>
      </c>
      <c r="E20" s="271">
        <v>1</v>
      </c>
      <c r="F20" s="271"/>
      <c r="G20" s="271"/>
      <c r="H20" s="285">
        <v>1.4999999999999999E-2</v>
      </c>
      <c r="I20" s="275">
        <f t="shared" si="2"/>
        <v>5926966.4699999997</v>
      </c>
      <c r="J20" s="276">
        <f t="shared" si="1"/>
        <v>5926966.4699999997</v>
      </c>
    </row>
    <row r="21" spans="1:344" x14ac:dyDescent="0.3">
      <c r="B21" s="283" t="s">
        <v>230</v>
      </c>
      <c r="C21" s="284" t="s">
        <v>231</v>
      </c>
      <c r="D21" s="271" t="s">
        <v>219</v>
      </c>
      <c r="E21" s="271">
        <v>1</v>
      </c>
      <c r="F21" s="271"/>
      <c r="G21" s="271"/>
      <c r="H21" s="285">
        <v>0.02</v>
      </c>
      <c r="I21" s="275">
        <f t="shared" si="2"/>
        <v>7902621.96</v>
      </c>
      <c r="J21" s="276">
        <f t="shared" si="1"/>
        <v>7902621.96</v>
      </c>
    </row>
    <row r="22" spans="1:344" x14ac:dyDescent="0.3">
      <c r="B22" s="283" t="s">
        <v>232</v>
      </c>
      <c r="C22" s="284" t="s">
        <v>233</v>
      </c>
      <c r="D22" s="271" t="s">
        <v>219</v>
      </c>
      <c r="E22" s="271">
        <v>1</v>
      </c>
      <c r="F22" s="271"/>
      <c r="G22" s="271"/>
      <c r="H22" s="285">
        <v>0.01</v>
      </c>
      <c r="I22" s="275">
        <f t="shared" si="2"/>
        <v>3951310.98</v>
      </c>
      <c r="J22" s="276">
        <f t="shared" si="1"/>
        <v>3951310.98</v>
      </c>
    </row>
    <row r="23" spans="1:344" x14ac:dyDescent="0.3">
      <c r="B23" s="283" t="s">
        <v>234</v>
      </c>
      <c r="C23" s="284" t="s">
        <v>235</v>
      </c>
      <c r="D23" s="271" t="s">
        <v>219</v>
      </c>
      <c r="E23" s="271">
        <v>1</v>
      </c>
      <c r="F23" s="271"/>
      <c r="G23" s="271"/>
      <c r="H23" s="285" t="s">
        <v>236</v>
      </c>
      <c r="I23" s="275">
        <f>+I22*0.06</f>
        <v>237078.65879999998</v>
      </c>
      <c r="J23" s="276">
        <f t="shared" si="1"/>
        <v>237078.65879999998</v>
      </c>
    </row>
    <row r="24" spans="1:344" x14ac:dyDescent="0.3">
      <c r="B24" s="283" t="s">
        <v>237</v>
      </c>
      <c r="C24" s="284" t="s">
        <v>238</v>
      </c>
      <c r="D24" s="271" t="s">
        <v>219</v>
      </c>
      <c r="E24" s="271">
        <v>1</v>
      </c>
      <c r="F24" s="271"/>
      <c r="G24" s="271"/>
      <c r="H24" s="285">
        <v>0.05</v>
      </c>
      <c r="I24" s="275">
        <f>H24*$J$5</f>
        <v>19756554.900000002</v>
      </c>
      <c r="J24" s="276">
        <f t="shared" si="1"/>
        <v>19756554.900000002</v>
      </c>
    </row>
    <row r="25" spans="1:344" ht="10.15" customHeight="1" x14ac:dyDescent="0.3">
      <c r="B25" s="496"/>
      <c r="C25" s="497"/>
      <c r="D25" s="497"/>
      <c r="E25" s="497"/>
      <c r="F25" s="497"/>
      <c r="G25" s="497"/>
      <c r="H25" s="497"/>
      <c r="I25" s="497"/>
      <c r="J25" s="498"/>
    </row>
    <row r="26" spans="1:344" s="262" customFormat="1" ht="23.1" customHeight="1" x14ac:dyDescent="0.3">
      <c r="A26" s="259"/>
      <c r="B26" s="499" t="s">
        <v>239</v>
      </c>
      <c r="C26" s="500"/>
      <c r="D26" s="500"/>
      <c r="E26" s="500"/>
      <c r="F26" s="500"/>
      <c r="G26" s="500"/>
      <c r="H26" s="500"/>
      <c r="I26" s="288">
        <f>+J26/J5</f>
        <v>0.25000000126540278</v>
      </c>
      <c r="J26" s="289">
        <f>ROUND((J8+J11+J14),0)</f>
        <v>98782775</v>
      </c>
      <c r="K26" s="286"/>
      <c r="L26" s="282"/>
      <c r="M26" s="290"/>
      <c r="N26" s="260"/>
      <c r="O26" s="260"/>
      <c r="P26" s="260"/>
      <c r="Q26" s="260"/>
      <c r="R26" s="260"/>
      <c r="S26" s="260"/>
      <c r="T26" s="260"/>
      <c r="U26" s="260"/>
      <c r="V26" s="260"/>
      <c r="W26" s="260"/>
      <c r="X26" s="260"/>
      <c r="Y26" s="260"/>
      <c r="Z26" s="260"/>
      <c r="AA26" s="260"/>
      <c r="AB26" s="260"/>
      <c r="AC26" s="260"/>
      <c r="AD26" s="260"/>
      <c r="AE26" s="260"/>
      <c r="AF26" s="260"/>
      <c r="AG26" s="260"/>
      <c r="AH26" s="260"/>
      <c r="AI26" s="260"/>
      <c r="AJ26" s="260"/>
      <c r="AK26" s="260"/>
      <c r="AL26" s="260"/>
      <c r="AM26" s="260"/>
      <c r="AN26" s="260"/>
      <c r="AO26" s="260"/>
      <c r="AP26" s="260"/>
      <c r="AQ26" s="260"/>
      <c r="AR26" s="260"/>
      <c r="AS26" s="260"/>
      <c r="AT26" s="260"/>
      <c r="AU26" s="260"/>
      <c r="AV26" s="260"/>
      <c r="AW26" s="260"/>
      <c r="AX26" s="260"/>
      <c r="AY26" s="260"/>
      <c r="AZ26" s="260"/>
      <c r="BA26" s="260"/>
      <c r="BB26" s="260"/>
      <c r="BC26" s="260"/>
      <c r="BD26" s="260"/>
      <c r="BE26" s="260"/>
      <c r="BF26" s="260"/>
      <c r="BG26" s="260"/>
      <c r="BH26" s="260"/>
      <c r="BI26" s="260"/>
      <c r="BJ26" s="260"/>
      <c r="BK26" s="260"/>
      <c r="BL26" s="260"/>
      <c r="BM26" s="260"/>
      <c r="BN26" s="260"/>
      <c r="BO26" s="260"/>
      <c r="BP26" s="260"/>
      <c r="BQ26" s="260"/>
      <c r="BR26" s="260"/>
      <c r="BS26" s="260"/>
      <c r="BT26" s="260"/>
      <c r="BU26" s="260"/>
      <c r="BV26" s="260"/>
      <c r="BW26" s="260"/>
      <c r="BX26" s="260"/>
      <c r="BY26" s="260"/>
      <c r="BZ26" s="260"/>
      <c r="CA26" s="260"/>
      <c r="CB26" s="260"/>
      <c r="CC26" s="260"/>
      <c r="CD26" s="260"/>
      <c r="CE26" s="260"/>
      <c r="CF26" s="260"/>
      <c r="CG26" s="260"/>
      <c r="CH26" s="260"/>
      <c r="CI26" s="260"/>
      <c r="CJ26" s="260"/>
      <c r="CK26" s="260"/>
      <c r="CL26" s="260"/>
      <c r="CM26" s="260"/>
      <c r="CN26" s="260"/>
      <c r="CO26" s="260"/>
      <c r="CP26" s="260"/>
      <c r="CQ26" s="260"/>
      <c r="CR26" s="260"/>
      <c r="CS26" s="260"/>
      <c r="CT26" s="260"/>
      <c r="CU26" s="260"/>
      <c r="CV26" s="260"/>
      <c r="CW26" s="260"/>
      <c r="CX26" s="260"/>
      <c r="CY26" s="260"/>
      <c r="CZ26" s="260"/>
      <c r="DA26" s="260"/>
      <c r="DB26" s="260"/>
      <c r="DC26" s="260"/>
      <c r="DD26" s="260"/>
      <c r="DE26" s="260"/>
      <c r="DF26" s="260"/>
      <c r="DG26" s="260"/>
      <c r="DH26" s="260"/>
      <c r="DI26" s="260"/>
      <c r="DJ26" s="260"/>
      <c r="DK26" s="260"/>
      <c r="DL26" s="260"/>
      <c r="DM26" s="260"/>
      <c r="DN26" s="260"/>
      <c r="DO26" s="260"/>
      <c r="DP26" s="260"/>
      <c r="DQ26" s="260"/>
      <c r="DR26" s="260"/>
      <c r="DS26" s="260"/>
      <c r="DT26" s="260"/>
      <c r="DU26" s="260"/>
      <c r="DV26" s="260"/>
      <c r="DW26" s="260"/>
      <c r="DX26" s="260"/>
      <c r="DY26" s="260"/>
      <c r="DZ26" s="260"/>
      <c r="EA26" s="260"/>
      <c r="EB26" s="260"/>
      <c r="EC26" s="260"/>
      <c r="ED26" s="260"/>
      <c r="EE26" s="260"/>
      <c r="EF26" s="260"/>
      <c r="EG26" s="260"/>
      <c r="EH26" s="260"/>
      <c r="EI26" s="260"/>
      <c r="EJ26" s="260"/>
      <c r="EK26" s="260"/>
      <c r="EL26" s="260"/>
      <c r="EM26" s="260"/>
      <c r="EN26" s="260"/>
      <c r="EO26" s="260"/>
      <c r="EP26" s="260"/>
      <c r="EQ26" s="260"/>
      <c r="ER26" s="260"/>
      <c r="ES26" s="260"/>
      <c r="ET26" s="260"/>
      <c r="EU26" s="260"/>
      <c r="EV26" s="260"/>
      <c r="EW26" s="260"/>
      <c r="EX26" s="260"/>
      <c r="EY26" s="260"/>
      <c r="EZ26" s="260"/>
      <c r="FA26" s="260"/>
      <c r="FB26" s="260"/>
      <c r="FC26" s="260"/>
      <c r="FD26" s="260"/>
      <c r="FE26" s="260"/>
      <c r="FF26" s="260"/>
      <c r="FG26" s="260"/>
      <c r="FH26" s="260"/>
      <c r="FI26" s="260"/>
      <c r="FJ26" s="260"/>
      <c r="FK26" s="260"/>
      <c r="FL26" s="260"/>
      <c r="FM26" s="260"/>
      <c r="FN26" s="260"/>
      <c r="FO26" s="260"/>
      <c r="FP26" s="260"/>
      <c r="FQ26" s="260"/>
      <c r="FR26" s="260"/>
      <c r="FS26" s="260"/>
      <c r="FT26" s="260"/>
      <c r="FU26" s="260"/>
      <c r="FV26" s="260"/>
      <c r="FW26" s="260"/>
      <c r="FX26" s="260"/>
      <c r="FY26" s="260"/>
      <c r="FZ26" s="260"/>
      <c r="GA26" s="260"/>
      <c r="GB26" s="260"/>
      <c r="GC26" s="260"/>
      <c r="GD26" s="260"/>
      <c r="GE26" s="260"/>
      <c r="GF26" s="260"/>
      <c r="GG26" s="260"/>
      <c r="GH26" s="260"/>
      <c r="GI26" s="260"/>
      <c r="GJ26" s="260"/>
      <c r="GK26" s="260"/>
      <c r="GL26" s="260"/>
      <c r="GM26" s="260"/>
      <c r="GN26" s="260"/>
      <c r="GO26" s="260"/>
      <c r="GP26" s="260"/>
      <c r="GQ26" s="260"/>
      <c r="GR26" s="260"/>
      <c r="GS26" s="260"/>
      <c r="GT26" s="260"/>
      <c r="GU26" s="260"/>
      <c r="GV26" s="260"/>
      <c r="GW26" s="260"/>
      <c r="GX26" s="260"/>
      <c r="GY26" s="260"/>
      <c r="GZ26" s="260"/>
      <c r="HA26" s="260"/>
      <c r="HB26" s="260"/>
      <c r="HC26" s="260"/>
      <c r="HD26" s="260"/>
      <c r="HE26" s="260"/>
      <c r="HF26" s="260"/>
      <c r="HG26" s="260"/>
      <c r="HH26" s="260"/>
      <c r="HI26" s="260"/>
      <c r="HJ26" s="260"/>
      <c r="HK26" s="260"/>
      <c r="HL26" s="260"/>
      <c r="HM26" s="260"/>
      <c r="HN26" s="260"/>
      <c r="HO26" s="260"/>
      <c r="HP26" s="260"/>
      <c r="HQ26" s="260"/>
      <c r="HR26" s="260"/>
      <c r="HS26" s="260"/>
      <c r="HT26" s="260"/>
      <c r="HU26" s="260"/>
      <c r="HV26" s="260"/>
      <c r="HW26" s="260"/>
      <c r="HX26" s="260"/>
      <c r="HY26" s="260"/>
      <c r="HZ26" s="260"/>
      <c r="IA26" s="260"/>
      <c r="IB26" s="260"/>
      <c r="IC26" s="260"/>
      <c r="ID26" s="260"/>
      <c r="IE26" s="260"/>
      <c r="IF26" s="260"/>
      <c r="IG26" s="260"/>
      <c r="IH26" s="260"/>
      <c r="II26" s="260"/>
      <c r="IJ26" s="260"/>
      <c r="IK26" s="260"/>
      <c r="IL26" s="260"/>
      <c r="IM26" s="260"/>
      <c r="IN26" s="260"/>
      <c r="IO26" s="260"/>
      <c r="IP26" s="260"/>
      <c r="IQ26" s="260"/>
      <c r="IR26" s="260"/>
      <c r="IS26" s="260"/>
      <c r="IT26" s="260"/>
      <c r="IU26" s="260"/>
      <c r="IV26" s="260"/>
      <c r="IW26" s="260"/>
      <c r="IX26" s="260"/>
      <c r="IY26" s="260"/>
      <c r="IZ26" s="260"/>
      <c r="JA26" s="260"/>
      <c r="JB26" s="260"/>
      <c r="JC26" s="260"/>
      <c r="JD26" s="260"/>
      <c r="JE26" s="260"/>
      <c r="JF26" s="260"/>
      <c r="JG26" s="260"/>
      <c r="JH26" s="260"/>
      <c r="JI26" s="260"/>
      <c r="JJ26" s="260"/>
      <c r="JK26" s="260"/>
      <c r="JL26" s="260"/>
      <c r="JM26" s="260"/>
      <c r="JN26" s="260"/>
      <c r="JO26" s="260"/>
      <c r="JP26" s="260"/>
      <c r="JQ26" s="260"/>
      <c r="JR26" s="260"/>
      <c r="JS26" s="260"/>
      <c r="JT26" s="260"/>
      <c r="JU26" s="260"/>
      <c r="JV26" s="260"/>
      <c r="JW26" s="260"/>
      <c r="JX26" s="260"/>
      <c r="JY26" s="260"/>
      <c r="JZ26" s="260"/>
      <c r="KA26" s="260"/>
      <c r="KB26" s="260"/>
      <c r="KC26" s="260"/>
      <c r="KD26" s="260"/>
      <c r="KE26" s="260"/>
      <c r="KF26" s="260"/>
      <c r="KG26" s="260"/>
      <c r="KH26" s="260"/>
      <c r="KI26" s="260"/>
      <c r="KJ26" s="260"/>
      <c r="KK26" s="260"/>
      <c r="KL26" s="260"/>
      <c r="KM26" s="260"/>
      <c r="KN26" s="260"/>
      <c r="KO26" s="260"/>
      <c r="KP26" s="260"/>
      <c r="KQ26" s="260"/>
      <c r="KR26" s="260"/>
      <c r="KS26" s="260"/>
      <c r="KT26" s="260"/>
      <c r="KU26" s="260"/>
      <c r="KV26" s="260"/>
      <c r="KW26" s="260"/>
      <c r="KX26" s="260"/>
      <c r="KY26" s="260"/>
      <c r="KZ26" s="260"/>
      <c r="LA26" s="260"/>
      <c r="LB26" s="260"/>
      <c r="LC26" s="260"/>
      <c r="LD26" s="260"/>
      <c r="LE26" s="260"/>
      <c r="LF26" s="260"/>
      <c r="LG26" s="260"/>
      <c r="LH26" s="260"/>
      <c r="LI26" s="260"/>
      <c r="LJ26" s="260"/>
      <c r="LK26" s="260"/>
      <c r="LL26" s="260"/>
      <c r="LM26" s="260"/>
      <c r="LN26" s="260"/>
      <c r="LO26" s="260"/>
      <c r="LP26" s="260"/>
      <c r="LQ26" s="260"/>
      <c r="LR26" s="260"/>
      <c r="LS26" s="260"/>
      <c r="LT26" s="260"/>
      <c r="LU26" s="260"/>
      <c r="LV26" s="260"/>
      <c r="LW26" s="260"/>
      <c r="LX26" s="260"/>
      <c r="LY26" s="260"/>
      <c r="LZ26" s="260"/>
      <c r="MA26" s="260"/>
      <c r="MB26" s="260"/>
      <c r="MC26" s="260"/>
      <c r="MD26" s="260"/>
      <c r="ME26" s="260"/>
      <c r="MF26" s="260"/>
    </row>
    <row r="27" spans="1:344" s="262" customFormat="1" ht="24.95" customHeight="1" x14ac:dyDescent="0.3">
      <c r="A27" s="259"/>
      <c r="B27" s="476" t="s">
        <v>240</v>
      </c>
      <c r="C27" s="477"/>
      <c r="D27" s="477"/>
      <c r="E27" s="477"/>
      <c r="F27" s="477"/>
      <c r="G27" s="477"/>
      <c r="H27" s="478"/>
      <c r="I27" s="291">
        <v>0.05</v>
      </c>
      <c r="J27" s="289">
        <f>ROUND((I27*J5),0)</f>
        <v>19756555</v>
      </c>
      <c r="K27" s="286"/>
      <c r="L27" s="260"/>
      <c r="M27" s="260"/>
      <c r="N27" s="260"/>
      <c r="O27" s="260"/>
      <c r="P27" s="260"/>
      <c r="Q27" s="260"/>
      <c r="R27" s="260"/>
      <c r="S27" s="260"/>
      <c r="T27" s="260"/>
      <c r="U27" s="260"/>
      <c r="V27" s="260"/>
      <c r="W27" s="260"/>
      <c r="X27" s="260"/>
      <c r="Y27" s="260"/>
      <c r="Z27" s="260"/>
      <c r="AA27" s="260"/>
      <c r="AB27" s="260"/>
      <c r="AC27" s="260"/>
      <c r="AD27" s="260"/>
      <c r="AE27" s="260"/>
      <c r="AF27" s="260"/>
      <c r="AG27" s="260"/>
      <c r="AH27" s="260"/>
      <c r="AI27" s="260"/>
      <c r="AJ27" s="260"/>
      <c r="AK27" s="260"/>
      <c r="AL27" s="260"/>
      <c r="AM27" s="260"/>
      <c r="AN27" s="260"/>
      <c r="AO27" s="260"/>
      <c r="AP27" s="260"/>
      <c r="AQ27" s="260"/>
      <c r="AR27" s="260"/>
      <c r="AS27" s="260"/>
      <c r="AT27" s="260"/>
      <c r="AU27" s="260"/>
      <c r="AV27" s="260"/>
      <c r="AW27" s="260"/>
      <c r="AX27" s="260"/>
      <c r="AY27" s="260"/>
      <c r="AZ27" s="260"/>
      <c r="BA27" s="260"/>
      <c r="BB27" s="260"/>
      <c r="BC27" s="260"/>
      <c r="BD27" s="260"/>
      <c r="BE27" s="260"/>
      <c r="BF27" s="260"/>
      <c r="BG27" s="260"/>
      <c r="BH27" s="260"/>
      <c r="BI27" s="260"/>
      <c r="BJ27" s="260"/>
      <c r="BK27" s="260"/>
      <c r="BL27" s="260"/>
      <c r="BM27" s="260"/>
      <c r="BN27" s="260"/>
      <c r="BO27" s="260"/>
      <c r="BP27" s="260"/>
      <c r="BQ27" s="260"/>
      <c r="BR27" s="260"/>
      <c r="BS27" s="260"/>
      <c r="BT27" s="260"/>
      <c r="BU27" s="260"/>
      <c r="BV27" s="260"/>
      <c r="BW27" s="260"/>
      <c r="BX27" s="260"/>
      <c r="BY27" s="260"/>
      <c r="BZ27" s="260"/>
      <c r="CA27" s="260"/>
      <c r="CB27" s="260"/>
      <c r="CC27" s="260"/>
      <c r="CD27" s="260"/>
      <c r="CE27" s="260"/>
      <c r="CF27" s="260"/>
      <c r="CG27" s="260"/>
      <c r="CH27" s="260"/>
      <c r="CI27" s="260"/>
      <c r="CJ27" s="260"/>
      <c r="CK27" s="260"/>
      <c r="CL27" s="260"/>
      <c r="CM27" s="260"/>
      <c r="CN27" s="260"/>
      <c r="CO27" s="260"/>
      <c r="CP27" s="260"/>
      <c r="CQ27" s="260"/>
      <c r="CR27" s="260"/>
      <c r="CS27" s="260"/>
      <c r="CT27" s="260"/>
      <c r="CU27" s="260"/>
      <c r="CV27" s="260"/>
      <c r="CW27" s="260"/>
      <c r="CX27" s="260"/>
      <c r="CY27" s="260"/>
      <c r="CZ27" s="260"/>
      <c r="DA27" s="260"/>
      <c r="DB27" s="260"/>
      <c r="DC27" s="260"/>
      <c r="DD27" s="260"/>
      <c r="DE27" s="260"/>
      <c r="DF27" s="260"/>
      <c r="DG27" s="260"/>
      <c r="DH27" s="260"/>
      <c r="DI27" s="260"/>
      <c r="DJ27" s="260"/>
      <c r="DK27" s="260"/>
      <c r="DL27" s="260"/>
      <c r="DM27" s="260"/>
      <c r="DN27" s="260"/>
      <c r="DO27" s="260"/>
      <c r="DP27" s="260"/>
      <c r="DQ27" s="260"/>
      <c r="DR27" s="260"/>
      <c r="DS27" s="260"/>
      <c r="DT27" s="260"/>
      <c r="DU27" s="260"/>
      <c r="DV27" s="260"/>
      <c r="DW27" s="260"/>
      <c r="DX27" s="260"/>
      <c r="DY27" s="260"/>
      <c r="DZ27" s="260"/>
      <c r="EA27" s="260"/>
      <c r="EB27" s="260"/>
      <c r="EC27" s="260"/>
      <c r="ED27" s="260"/>
      <c r="EE27" s="260"/>
      <c r="EF27" s="260"/>
      <c r="EG27" s="260"/>
      <c r="EH27" s="260"/>
      <c r="EI27" s="260"/>
      <c r="EJ27" s="260"/>
      <c r="EK27" s="260"/>
      <c r="EL27" s="260"/>
      <c r="EM27" s="260"/>
      <c r="EN27" s="260"/>
      <c r="EO27" s="260"/>
      <c r="EP27" s="260"/>
      <c r="EQ27" s="260"/>
      <c r="ER27" s="260"/>
      <c r="ES27" s="260"/>
      <c r="ET27" s="260"/>
      <c r="EU27" s="260"/>
      <c r="EV27" s="260"/>
      <c r="EW27" s="260"/>
      <c r="EX27" s="260"/>
      <c r="EY27" s="260"/>
      <c r="EZ27" s="260"/>
      <c r="FA27" s="260"/>
      <c r="FB27" s="260"/>
      <c r="FC27" s="260"/>
      <c r="FD27" s="260"/>
      <c r="FE27" s="260"/>
      <c r="FF27" s="260"/>
      <c r="FG27" s="260"/>
      <c r="FH27" s="260"/>
      <c r="FI27" s="260"/>
      <c r="FJ27" s="260"/>
      <c r="FK27" s="260"/>
      <c r="FL27" s="260"/>
      <c r="FM27" s="260"/>
      <c r="FN27" s="260"/>
      <c r="FO27" s="260"/>
      <c r="FP27" s="260"/>
      <c r="FQ27" s="260"/>
      <c r="FR27" s="260"/>
      <c r="FS27" s="260"/>
      <c r="FT27" s="260"/>
      <c r="FU27" s="260"/>
      <c r="FV27" s="260"/>
      <c r="FW27" s="260"/>
      <c r="FX27" s="260"/>
      <c r="FY27" s="260"/>
      <c r="FZ27" s="260"/>
      <c r="GA27" s="260"/>
      <c r="GB27" s="260"/>
      <c r="GC27" s="260"/>
      <c r="GD27" s="260"/>
      <c r="GE27" s="260"/>
      <c r="GF27" s="260"/>
      <c r="GG27" s="260"/>
      <c r="GH27" s="260"/>
      <c r="GI27" s="260"/>
      <c r="GJ27" s="260"/>
      <c r="GK27" s="260"/>
      <c r="GL27" s="260"/>
      <c r="GM27" s="260"/>
      <c r="GN27" s="260"/>
      <c r="GO27" s="260"/>
      <c r="GP27" s="260"/>
      <c r="GQ27" s="260"/>
      <c r="GR27" s="260"/>
      <c r="GS27" s="260"/>
      <c r="GT27" s="260"/>
      <c r="GU27" s="260"/>
      <c r="GV27" s="260"/>
      <c r="GW27" s="260"/>
      <c r="GX27" s="260"/>
      <c r="GY27" s="260"/>
      <c r="GZ27" s="260"/>
      <c r="HA27" s="260"/>
      <c r="HB27" s="260"/>
      <c r="HC27" s="260"/>
      <c r="HD27" s="260"/>
      <c r="HE27" s="260"/>
      <c r="HF27" s="260"/>
      <c r="HG27" s="260"/>
      <c r="HH27" s="260"/>
      <c r="HI27" s="260"/>
      <c r="HJ27" s="260"/>
      <c r="HK27" s="260"/>
      <c r="HL27" s="260"/>
      <c r="HM27" s="260"/>
      <c r="HN27" s="260"/>
      <c r="HO27" s="260"/>
      <c r="HP27" s="260"/>
      <c r="HQ27" s="260"/>
      <c r="HR27" s="260"/>
      <c r="HS27" s="260"/>
      <c r="HT27" s="260"/>
      <c r="HU27" s="260"/>
      <c r="HV27" s="260"/>
      <c r="HW27" s="260"/>
      <c r="HX27" s="260"/>
      <c r="HY27" s="260"/>
      <c r="HZ27" s="260"/>
      <c r="IA27" s="260"/>
      <c r="IB27" s="260"/>
      <c r="IC27" s="260"/>
      <c r="ID27" s="260"/>
      <c r="IE27" s="260"/>
      <c r="IF27" s="260"/>
      <c r="IG27" s="260"/>
      <c r="IH27" s="260"/>
      <c r="II27" s="260"/>
      <c r="IJ27" s="260"/>
      <c r="IK27" s="260"/>
      <c r="IL27" s="260"/>
      <c r="IM27" s="260"/>
      <c r="IN27" s="260"/>
      <c r="IO27" s="260"/>
      <c r="IP27" s="260"/>
      <c r="IQ27" s="260"/>
      <c r="IR27" s="260"/>
      <c r="IS27" s="260"/>
      <c r="IT27" s="260"/>
      <c r="IU27" s="260"/>
      <c r="IV27" s="260"/>
      <c r="IW27" s="260"/>
      <c r="IX27" s="260"/>
      <c r="IY27" s="260"/>
      <c r="IZ27" s="260"/>
      <c r="JA27" s="260"/>
      <c r="JB27" s="260"/>
      <c r="JC27" s="260"/>
      <c r="JD27" s="260"/>
      <c r="JE27" s="260"/>
      <c r="JF27" s="260"/>
      <c r="JG27" s="260"/>
      <c r="JH27" s="260"/>
      <c r="JI27" s="260"/>
      <c r="JJ27" s="260"/>
      <c r="JK27" s="260"/>
      <c r="JL27" s="260"/>
      <c r="JM27" s="260"/>
      <c r="JN27" s="260"/>
      <c r="JO27" s="260"/>
      <c r="JP27" s="260"/>
      <c r="JQ27" s="260"/>
      <c r="JR27" s="260"/>
      <c r="JS27" s="260"/>
      <c r="JT27" s="260"/>
      <c r="JU27" s="260"/>
      <c r="JV27" s="260"/>
      <c r="JW27" s="260"/>
      <c r="JX27" s="260"/>
      <c r="JY27" s="260"/>
      <c r="JZ27" s="260"/>
      <c r="KA27" s="260"/>
      <c r="KB27" s="260"/>
      <c r="KC27" s="260"/>
      <c r="KD27" s="260"/>
      <c r="KE27" s="260"/>
      <c r="KF27" s="260"/>
      <c r="KG27" s="260"/>
      <c r="KH27" s="260"/>
      <c r="KI27" s="260"/>
      <c r="KJ27" s="260"/>
      <c r="KK27" s="260"/>
      <c r="KL27" s="260"/>
      <c r="KM27" s="260"/>
      <c r="KN27" s="260"/>
      <c r="KO27" s="260"/>
      <c r="KP27" s="260"/>
      <c r="KQ27" s="260"/>
      <c r="KR27" s="260"/>
      <c r="KS27" s="260"/>
      <c r="KT27" s="260"/>
      <c r="KU27" s="260"/>
      <c r="KV27" s="260"/>
      <c r="KW27" s="260"/>
      <c r="KX27" s="260"/>
      <c r="KY27" s="260"/>
      <c r="KZ27" s="260"/>
      <c r="LA27" s="260"/>
      <c r="LB27" s="260"/>
      <c r="LC27" s="260"/>
      <c r="LD27" s="260"/>
      <c r="LE27" s="260"/>
      <c r="LF27" s="260"/>
      <c r="LG27" s="260"/>
      <c r="LH27" s="260"/>
      <c r="LI27" s="260"/>
      <c r="LJ27" s="260"/>
      <c r="LK27" s="260"/>
      <c r="LL27" s="260"/>
      <c r="LM27" s="260"/>
      <c r="LN27" s="260"/>
      <c r="LO27" s="260"/>
      <c r="LP27" s="260"/>
      <c r="LQ27" s="260"/>
      <c r="LR27" s="260"/>
      <c r="LS27" s="260"/>
      <c r="LT27" s="260"/>
      <c r="LU27" s="260"/>
      <c r="LV27" s="260"/>
      <c r="LW27" s="260"/>
      <c r="LX27" s="260"/>
      <c r="LY27" s="260"/>
      <c r="LZ27" s="260"/>
      <c r="MA27" s="260"/>
      <c r="MB27" s="260"/>
      <c r="MC27" s="260"/>
      <c r="MD27" s="260"/>
      <c r="ME27" s="260"/>
      <c r="MF27" s="260"/>
    </row>
    <row r="28" spans="1:344" s="262" customFormat="1" ht="24" customHeight="1" thickBot="1" x14ac:dyDescent="0.35">
      <c r="A28" s="259"/>
      <c r="B28" s="479" t="s">
        <v>241</v>
      </c>
      <c r="C28" s="480"/>
      <c r="D28" s="480"/>
      <c r="E28" s="480"/>
      <c r="F28" s="480"/>
      <c r="G28" s="480"/>
      <c r="H28" s="480"/>
      <c r="I28" s="358">
        <f>SUM(I26:I27)</f>
        <v>0.30000000126540277</v>
      </c>
      <c r="J28" s="359">
        <f>SUM(J26:J27)</f>
        <v>118539330</v>
      </c>
      <c r="K28" s="292"/>
      <c r="L28" s="292"/>
      <c r="M28" s="260"/>
      <c r="N28" s="260"/>
      <c r="O28" s="260"/>
      <c r="P28" s="260"/>
      <c r="Q28" s="260"/>
      <c r="R28" s="260"/>
      <c r="S28" s="260"/>
      <c r="T28" s="260"/>
      <c r="U28" s="260"/>
      <c r="V28" s="260"/>
      <c r="W28" s="260"/>
      <c r="X28" s="260"/>
      <c r="Y28" s="260"/>
      <c r="Z28" s="260"/>
      <c r="AA28" s="260"/>
      <c r="AB28" s="260"/>
      <c r="AC28" s="260"/>
      <c r="AD28" s="260"/>
      <c r="AE28" s="260"/>
      <c r="AF28" s="260"/>
      <c r="AG28" s="260"/>
      <c r="AH28" s="260"/>
      <c r="AI28" s="260"/>
      <c r="AJ28" s="260"/>
      <c r="AK28" s="260"/>
      <c r="AL28" s="260"/>
      <c r="AM28" s="260"/>
      <c r="AN28" s="260"/>
      <c r="AO28" s="260"/>
      <c r="AP28" s="260"/>
      <c r="AQ28" s="260"/>
      <c r="AR28" s="260"/>
      <c r="AS28" s="260"/>
      <c r="AT28" s="260"/>
      <c r="AU28" s="260"/>
      <c r="AV28" s="260"/>
      <c r="AW28" s="260"/>
      <c r="AX28" s="260"/>
      <c r="AY28" s="260"/>
      <c r="AZ28" s="260"/>
      <c r="BA28" s="260"/>
      <c r="BB28" s="260"/>
      <c r="BC28" s="260"/>
      <c r="BD28" s="260"/>
      <c r="BE28" s="260"/>
      <c r="BF28" s="260"/>
      <c r="BG28" s="260"/>
      <c r="BH28" s="260"/>
      <c r="BI28" s="260"/>
      <c r="BJ28" s="260"/>
      <c r="BK28" s="260"/>
      <c r="BL28" s="260"/>
      <c r="BM28" s="260"/>
      <c r="BN28" s="260"/>
      <c r="BO28" s="260"/>
      <c r="BP28" s="260"/>
      <c r="BQ28" s="260"/>
      <c r="BR28" s="260"/>
      <c r="BS28" s="260"/>
      <c r="BT28" s="260"/>
      <c r="BU28" s="260"/>
      <c r="BV28" s="260"/>
      <c r="BW28" s="260"/>
      <c r="BX28" s="260"/>
      <c r="BY28" s="260"/>
      <c r="BZ28" s="260"/>
      <c r="CA28" s="260"/>
      <c r="CB28" s="260"/>
      <c r="CC28" s="260"/>
      <c r="CD28" s="260"/>
      <c r="CE28" s="260"/>
      <c r="CF28" s="260"/>
      <c r="CG28" s="260"/>
      <c r="CH28" s="260"/>
      <c r="CI28" s="260"/>
      <c r="CJ28" s="260"/>
      <c r="CK28" s="260"/>
      <c r="CL28" s="260"/>
      <c r="CM28" s="260"/>
      <c r="CN28" s="260"/>
      <c r="CO28" s="260"/>
      <c r="CP28" s="260"/>
      <c r="CQ28" s="260"/>
      <c r="CR28" s="260"/>
      <c r="CS28" s="260"/>
      <c r="CT28" s="260"/>
      <c r="CU28" s="260"/>
      <c r="CV28" s="260"/>
      <c r="CW28" s="260"/>
      <c r="CX28" s="260"/>
      <c r="CY28" s="260"/>
      <c r="CZ28" s="260"/>
      <c r="DA28" s="260"/>
      <c r="DB28" s="260"/>
      <c r="DC28" s="260"/>
      <c r="DD28" s="260"/>
      <c r="DE28" s="260"/>
      <c r="DF28" s="260"/>
      <c r="DG28" s="260"/>
      <c r="DH28" s="260"/>
      <c r="DI28" s="260"/>
      <c r="DJ28" s="260"/>
      <c r="DK28" s="260"/>
      <c r="DL28" s="260"/>
      <c r="DM28" s="260"/>
      <c r="DN28" s="260"/>
      <c r="DO28" s="260"/>
      <c r="DP28" s="260"/>
      <c r="DQ28" s="260"/>
      <c r="DR28" s="260"/>
      <c r="DS28" s="260"/>
      <c r="DT28" s="260"/>
      <c r="DU28" s="260"/>
      <c r="DV28" s="260"/>
      <c r="DW28" s="260"/>
      <c r="DX28" s="260"/>
      <c r="DY28" s="260"/>
      <c r="DZ28" s="260"/>
      <c r="EA28" s="260"/>
      <c r="EB28" s="260"/>
      <c r="EC28" s="260"/>
      <c r="ED28" s="260"/>
      <c r="EE28" s="260"/>
      <c r="EF28" s="260"/>
      <c r="EG28" s="260"/>
      <c r="EH28" s="260"/>
      <c r="EI28" s="260"/>
      <c r="EJ28" s="260"/>
      <c r="EK28" s="260"/>
      <c r="EL28" s="260"/>
      <c r="EM28" s="260"/>
      <c r="EN28" s="260"/>
      <c r="EO28" s="260"/>
      <c r="EP28" s="260"/>
      <c r="EQ28" s="260"/>
      <c r="ER28" s="260"/>
      <c r="ES28" s="260"/>
      <c r="ET28" s="260"/>
      <c r="EU28" s="260"/>
      <c r="EV28" s="260"/>
      <c r="EW28" s="260"/>
      <c r="EX28" s="260"/>
      <c r="EY28" s="260"/>
      <c r="EZ28" s="260"/>
      <c r="FA28" s="260"/>
      <c r="FB28" s="260"/>
      <c r="FC28" s="260"/>
      <c r="FD28" s="260"/>
      <c r="FE28" s="260"/>
      <c r="FF28" s="260"/>
      <c r="FG28" s="260"/>
      <c r="FH28" s="260"/>
      <c r="FI28" s="260"/>
      <c r="FJ28" s="260"/>
      <c r="FK28" s="260"/>
      <c r="FL28" s="260"/>
      <c r="FM28" s="260"/>
      <c r="FN28" s="260"/>
      <c r="FO28" s="260"/>
      <c r="FP28" s="260"/>
      <c r="FQ28" s="260"/>
      <c r="FR28" s="260"/>
      <c r="FS28" s="260"/>
      <c r="FT28" s="260"/>
      <c r="FU28" s="260"/>
      <c r="FV28" s="260"/>
      <c r="FW28" s="260"/>
      <c r="FX28" s="260"/>
      <c r="FY28" s="260"/>
      <c r="FZ28" s="260"/>
      <c r="GA28" s="260"/>
      <c r="GB28" s="260"/>
      <c r="GC28" s="260"/>
      <c r="GD28" s="260"/>
      <c r="GE28" s="260"/>
      <c r="GF28" s="260"/>
      <c r="GG28" s="260"/>
      <c r="GH28" s="260"/>
      <c r="GI28" s="260"/>
      <c r="GJ28" s="260"/>
      <c r="GK28" s="260"/>
      <c r="GL28" s="260"/>
      <c r="GM28" s="260"/>
      <c r="GN28" s="260"/>
      <c r="GO28" s="260"/>
      <c r="GP28" s="260"/>
      <c r="GQ28" s="260"/>
      <c r="GR28" s="260"/>
      <c r="GS28" s="260"/>
      <c r="GT28" s="260"/>
      <c r="GU28" s="260"/>
      <c r="GV28" s="260"/>
      <c r="GW28" s="260"/>
      <c r="GX28" s="260"/>
      <c r="GY28" s="260"/>
      <c r="GZ28" s="260"/>
      <c r="HA28" s="260"/>
      <c r="HB28" s="260"/>
      <c r="HC28" s="260"/>
      <c r="HD28" s="260"/>
      <c r="HE28" s="260"/>
      <c r="HF28" s="260"/>
      <c r="HG28" s="260"/>
      <c r="HH28" s="260"/>
      <c r="HI28" s="260"/>
      <c r="HJ28" s="260"/>
      <c r="HK28" s="260"/>
      <c r="HL28" s="260"/>
      <c r="HM28" s="260"/>
      <c r="HN28" s="260"/>
      <c r="HO28" s="260"/>
      <c r="HP28" s="260"/>
      <c r="HQ28" s="260"/>
      <c r="HR28" s="260"/>
      <c r="HS28" s="260"/>
      <c r="HT28" s="260"/>
      <c r="HU28" s="260"/>
      <c r="HV28" s="260"/>
      <c r="HW28" s="260"/>
      <c r="HX28" s="260"/>
      <c r="HY28" s="260"/>
      <c r="HZ28" s="260"/>
      <c r="IA28" s="260"/>
      <c r="IB28" s="260"/>
      <c r="IC28" s="260"/>
      <c r="ID28" s="260"/>
      <c r="IE28" s="260"/>
      <c r="IF28" s="260"/>
      <c r="IG28" s="260"/>
      <c r="IH28" s="260"/>
      <c r="II28" s="260"/>
      <c r="IJ28" s="260"/>
      <c r="IK28" s="260"/>
      <c r="IL28" s="260"/>
      <c r="IM28" s="260"/>
      <c r="IN28" s="260"/>
      <c r="IO28" s="260"/>
      <c r="IP28" s="260"/>
      <c r="IQ28" s="260"/>
      <c r="IR28" s="260"/>
      <c r="IS28" s="260"/>
      <c r="IT28" s="260"/>
      <c r="IU28" s="260"/>
      <c r="IV28" s="260"/>
      <c r="IW28" s="260"/>
      <c r="IX28" s="260"/>
      <c r="IY28" s="260"/>
      <c r="IZ28" s="260"/>
      <c r="JA28" s="260"/>
      <c r="JB28" s="260"/>
      <c r="JC28" s="260"/>
      <c r="JD28" s="260"/>
      <c r="JE28" s="260"/>
      <c r="JF28" s="260"/>
      <c r="JG28" s="260"/>
      <c r="JH28" s="260"/>
      <c r="JI28" s="260"/>
      <c r="JJ28" s="260"/>
      <c r="JK28" s="260"/>
      <c r="JL28" s="260"/>
      <c r="JM28" s="260"/>
      <c r="JN28" s="260"/>
      <c r="JO28" s="260"/>
      <c r="JP28" s="260"/>
      <c r="JQ28" s="260"/>
      <c r="JR28" s="260"/>
      <c r="JS28" s="260"/>
      <c r="JT28" s="260"/>
      <c r="JU28" s="260"/>
      <c r="JV28" s="260"/>
      <c r="JW28" s="260"/>
      <c r="JX28" s="260"/>
      <c r="JY28" s="260"/>
      <c r="JZ28" s="260"/>
      <c r="KA28" s="260"/>
      <c r="KB28" s="260"/>
      <c r="KC28" s="260"/>
      <c r="KD28" s="260"/>
      <c r="KE28" s="260"/>
      <c r="KF28" s="260"/>
      <c r="KG28" s="260"/>
      <c r="KH28" s="260"/>
      <c r="KI28" s="260"/>
      <c r="KJ28" s="260"/>
      <c r="KK28" s="260"/>
      <c r="KL28" s="260"/>
      <c r="KM28" s="260"/>
      <c r="KN28" s="260"/>
      <c r="KO28" s="260"/>
      <c r="KP28" s="260"/>
      <c r="KQ28" s="260"/>
      <c r="KR28" s="260"/>
      <c r="KS28" s="260"/>
      <c r="KT28" s="260"/>
      <c r="KU28" s="260"/>
      <c r="KV28" s="260"/>
      <c r="KW28" s="260"/>
      <c r="KX28" s="260"/>
      <c r="KY28" s="260"/>
      <c r="KZ28" s="260"/>
      <c r="LA28" s="260"/>
      <c r="LB28" s="260"/>
      <c r="LC28" s="260"/>
      <c r="LD28" s="260"/>
      <c r="LE28" s="260"/>
      <c r="LF28" s="260"/>
      <c r="LG28" s="260"/>
      <c r="LH28" s="260"/>
      <c r="LI28" s="260"/>
      <c r="LJ28" s="260"/>
      <c r="LK28" s="260"/>
      <c r="LL28" s="260"/>
      <c r="LM28" s="260"/>
      <c r="LN28" s="260"/>
      <c r="LO28" s="260"/>
      <c r="LP28" s="260"/>
      <c r="LQ28" s="260"/>
      <c r="LR28" s="260"/>
      <c r="LS28" s="260"/>
      <c r="LT28" s="260"/>
      <c r="LU28" s="260"/>
      <c r="LV28" s="260"/>
      <c r="LW28" s="260"/>
      <c r="LX28" s="260"/>
      <c r="LY28" s="260"/>
      <c r="LZ28" s="260"/>
      <c r="MA28" s="260"/>
      <c r="MB28" s="260"/>
      <c r="MC28" s="260"/>
      <c r="MD28" s="260"/>
      <c r="ME28" s="260"/>
      <c r="MF28" s="260"/>
    </row>
    <row r="32" spans="1:344" x14ac:dyDescent="0.3">
      <c r="C32" s="294"/>
    </row>
  </sheetData>
  <mergeCells count="8">
    <mergeCell ref="B27:H27"/>
    <mergeCell ref="B28:H28"/>
    <mergeCell ref="B1:J4"/>
    <mergeCell ref="B5:I5"/>
    <mergeCell ref="B6:J6"/>
    <mergeCell ref="C14:G14"/>
    <mergeCell ref="B25:J25"/>
    <mergeCell ref="B26:H26"/>
  </mergeCells>
  <pageMargins left="0.7" right="0.7" top="0.75" bottom="0.75" header="0.3" footer="0.3"/>
  <pageSetup scale="67" orientation="landscape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5A038-D03F-4ECA-B04E-39D3E878AE4D}">
  <dimension ref="A1:O32"/>
  <sheetViews>
    <sheetView topLeftCell="A25" zoomScale="80" zoomScaleNormal="80" zoomScaleSheetLayoutView="20" zoomScalePageLayoutView="81" workbookViewId="0">
      <selection activeCell="H34" sqref="H34"/>
    </sheetView>
  </sheetViews>
  <sheetFormatPr baseColWidth="10" defaultColWidth="11" defaultRowHeight="15.75" x14ac:dyDescent="0.25"/>
  <cols>
    <col min="1" max="1" width="9.5703125" style="295" customWidth="1"/>
    <col min="2" max="4" width="11" style="295"/>
    <col min="5" max="5" width="27.5703125" style="295" customWidth="1"/>
    <col min="6" max="6" width="15.42578125" style="295" customWidth="1"/>
    <col min="7" max="7" width="19.85546875" style="295" customWidth="1"/>
    <col min="8" max="8" width="17.42578125" style="295" customWidth="1"/>
    <col min="9" max="9" width="19.140625" style="295" customWidth="1"/>
    <col min="10" max="10" width="21.5703125" style="295" customWidth="1"/>
    <col min="11" max="14" width="16.85546875" style="295" customWidth="1"/>
    <col min="15" max="15" width="15.42578125" style="295" customWidth="1"/>
    <col min="16" max="16384" width="11" style="295"/>
  </cols>
  <sheetData>
    <row r="1" spans="1:15" ht="15" customHeight="1" x14ac:dyDescent="0.25">
      <c r="A1" s="379" t="s">
        <v>242</v>
      </c>
      <c r="B1" s="380"/>
      <c r="C1" s="383" t="str">
        <f>+PTO!B2</f>
        <v>AMPLIACIÓN Y OPTIMIZACIÓN DEL SITIO DE DISPOSICIÓN FINAL DE RESIDUOS SOLIDOS DEL CORREGIMIENTO DE SAN MIGUEL EN EL MUNICIPIO DEL MEDIO SAN JUAN MEDIANTE LA EJECUCIÓN DE ACTIVIDADES DE CIERRE - CLAUSURA Y APERTURA DE CELDA DE CONTINGENCIA</v>
      </c>
      <c r="D1" s="383"/>
      <c r="E1" s="383"/>
      <c r="F1" s="383"/>
      <c r="G1" s="383"/>
      <c r="H1" s="383"/>
      <c r="I1" s="383"/>
      <c r="J1" s="383"/>
      <c r="K1" s="383"/>
      <c r="L1" s="383"/>
      <c r="M1" s="383"/>
      <c r="N1" s="383"/>
      <c r="O1" s="384"/>
    </row>
    <row r="2" spans="1:15" ht="38.85" customHeight="1" x14ac:dyDescent="0.25">
      <c r="A2" s="381"/>
      <c r="B2" s="382"/>
      <c r="C2" s="385"/>
      <c r="D2" s="385"/>
      <c r="E2" s="385"/>
      <c r="F2" s="385"/>
      <c r="G2" s="385"/>
      <c r="H2" s="385"/>
      <c r="I2" s="385"/>
      <c r="J2" s="385"/>
      <c r="K2" s="385"/>
      <c r="L2" s="385"/>
      <c r="M2" s="385"/>
      <c r="N2" s="385"/>
      <c r="O2" s="386"/>
    </row>
    <row r="3" spans="1:15" ht="22.5" customHeight="1" x14ac:dyDescent="0.25">
      <c r="A3" s="387" t="s">
        <v>243</v>
      </c>
      <c r="B3" s="389" t="s">
        <v>244</v>
      </c>
      <c r="C3" s="390"/>
      <c r="D3" s="390"/>
      <c r="E3" s="391"/>
      <c r="F3" s="395" t="s">
        <v>245</v>
      </c>
      <c r="G3" s="397" t="s">
        <v>246</v>
      </c>
      <c r="H3" s="399" t="s">
        <v>247</v>
      </c>
      <c r="I3" s="400"/>
      <c r="J3" s="400"/>
      <c r="K3" s="401"/>
      <c r="L3" s="399" t="s">
        <v>248</v>
      </c>
      <c r="M3" s="400"/>
      <c r="N3" s="400"/>
      <c r="O3" s="402"/>
    </row>
    <row r="4" spans="1:15" ht="23.85" customHeight="1" x14ac:dyDescent="0.25">
      <c r="A4" s="388"/>
      <c r="B4" s="392"/>
      <c r="C4" s="393"/>
      <c r="D4" s="393"/>
      <c r="E4" s="394"/>
      <c r="F4" s="396"/>
      <c r="G4" s="398"/>
      <c r="H4" s="296" t="s">
        <v>249</v>
      </c>
      <c r="I4" s="296" t="s">
        <v>250</v>
      </c>
      <c r="J4" s="296" t="s">
        <v>251</v>
      </c>
      <c r="K4" s="296" t="s">
        <v>252</v>
      </c>
      <c r="L4" s="296" t="s">
        <v>249</v>
      </c>
      <c r="M4" s="296" t="s">
        <v>250</v>
      </c>
      <c r="N4" s="296" t="s">
        <v>251</v>
      </c>
      <c r="O4" s="296" t="s">
        <v>252</v>
      </c>
    </row>
    <row r="5" spans="1:15" ht="27.75" customHeight="1" x14ac:dyDescent="0.25">
      <c r="A5" s="306">
        <v>1</v>
      </c>
      <c r="B5" s="378" t="str">
        <f>+[46]PTO!C4</f>
        <v>OBRAS PRELIMINARES</v>
      </c>
      <c r="C5" s="378" t="s">
        <v>253</v>
      </c>
      <c r="D5" s="378" t="s">
        <v>253</v>
      </c>
      <c r="E5" s="378" t="s">
        <v>253</v>
      </c>
      <c r="F5" s="307">
        <v>3</v>
      </c>
      <c r="G5" s="308">
        <f>SUM(G6:G7)</f>
        <v>39171864</v>
      </c>
      <c r="H5" s="298">
        <f>SUM(H6:H7)</f>
        <v>4.7339447830552682E-2</v>
      </c>
      <c r="I5" s="298">
        <f>SUM(I6:I7)</f>
        <v>2.5898462691994948E-2</v>
      </c>
      <c r="J5" s="298">
        <f>SUM(J6:J7)</f>
        <v>2.5898462691994948E-2</v>
      </c>
      <c r="K5" s="299"/>
      <c r="L5" s="299"/>
      <c r="M5" s="299"/>
      <c r="N5" s="299"/>
      <c r="O5" s="300"/>
    </row>
    <row r="6" spans="1:15" x14ac:dyDescent="0.25">
      <c r="A6" s="301"/>
      <c r="B6" s="372" t="str">
        <f>+[46]PTO!C5</f>
        <v>Localizacion, Trazado y replanteo</v>
      </c>
      <c r="C6" s="373" t="s">
        <v>254</v>
      </c>
      <c r="D6" s="373" t="s">
        <v>254</v>
      </c>
      <c r="E6" s="374" t="s">
        <v>254</v>
      </c>
      <c r="F6" s="302">
        <v>1</v>
      </c>
      <c r="G6" s="303">
        <f>+[46]PTO!G5</f>
        <v>8472000</v>
      </c>
      <c r="H6" s="298">
        <f>($G$6/$G$29)/$F$6</f>
        <v>2.1440985138557734E-2</v>
      </c>
      <c r="I6" s="304"/>
      <c r="J6" s="304"/>
      <c r="K6" s="299"/>
      <c r="L6" s="299"/>
      <c r="M6" s="299"/>
      <c r="N6" s="299"/>
      <c r="O6" s="300"/>
    </row>
    <row r="7" spans="1:15" ht="39.4" customHeight="1" x14ac:dyDescent="0.25">
      <c r="A7" s="301"/>
      <c r="B7" s="375" t="str">
        <f>+[46]PTO!C6</f>
        <v>Descapote y limpieza del terreno donde se desarrolla el proyecto. Incluye transporte y disposición final de los materiales.</v>
      </c>
      <c r="C7" s="376" t="s">
        <v>254</v>
      </c>
      <c r="D7" s="376" t="s">
        <v>254</v>
      </c>
      <c r="E7" s="377" t="s">
        <v>254</v>
      </c>
      <c r="F7" s="302">
        <v>3</v>
      </c>
      <c r="G7" s="303">
        <f>+[46]PTO!G6</f>
        <v>30699864</v>
      </c>
      <c r="H7" s="298">
        <f>($G$7/$G$29)/$F$7</f>
        <v>2.5898462691994948E-2</v>
      </c>
      <c r="I7" s="298">
        <f>($G$7/$G$29)/$F$7</f>
        <v>2.5898462691994948E-2</v>
      </c>
      <c r="J7" s="298">
        <f>($G$7/$G$29)/$F$7</f>
        <v>2.5898462691994948E-2</v>
      </c>
      <c r="K7" s="299"/>
      <c r="L7" s="299"/>
      <c r="M7" s="299"/>
      <c r="N7" s="299"/>
      <c r="O7" s="305"/>
    </row>
    <row r="8" spans="1:15" ht="25.15" customHeight="1" x14ac:dyDescent="0.25">
      <c r="A8" s="306">
        <v>2</v>
      </c>
      <c r="B8" s="378" t="str">
        <f>+[46]PTO!C7</f>
        <v>EXCAVACION Y LLENOS</v>
      </c>
      <c r="C8" s="378" t="s">
        <v>255</v>
      </c>
      <c r="D8" s="378" t="s">
        <v>255</v>
      </c>
      <c r="E8" s="378" t="s">
        <v>255</v>
      </c>
      <c r="F8" s="307">
        <v>3</v>
      </c>
      <c r="G8" s="308">
        <f>SUM(G9:G10)</f>
        <v>267667733</v>
      </c>
      <c r="H8" s="309"/>
      <c r="I8" s="310">
        <f>SUM(I9:I10)</f>
        <v>0.2124737850929668</v>
      </c>
      <c r="J8" s="310">
        <f>SUM(J9:J10)</f>
        <v>0.23247060776775408</v>
      </c>
      <c r="K8" s="310">
        <f>SUM(K9:K10)</f>
        <v>0.23247060776775408</v>
      </c>
      <c r="L8" s="311"/>
      <c r="M8" s="311"/>
      <c r="N8" s="311"/>
      <c r="O8" s="312"/>
    </row>
    <row r="9" spans="1:15" ht="99.95" customHeight="1" x14ac:dyDescent="0.25">
      <c r="A9" s="301"/>
      <c r="B9" s="368" t="str">
        <f>+[46]PTO!C8</f>
        <v>EXCAVACIÓN DE MATERIAL HETEROGENEO DE 0-3 m., con material seco. Incluye: roca descompuesta, bolas de roca de volumen inferior a 0.35 m³., el cargue, transporte interno y externo, botada de material proveniente de las excavaciones en los sitios donde lo indique la interventoría y su medida será en el sitio. No incluye entibado.</v>
      </c>
      <c r="C9" s="369" t="s">
        <v>256</v>
      </c>
      <c r="D9" s="369" t="s">
        <v>256</v>
      </c>
      <c r="E9" s="370" t="s">
        <v>256</v>
      </c>
      <c r="F9" s="302">
        <v>3</v>
      </c>
      <c r="G9" s="303">
        <f>+[46]PTO!G8</f>
        <v>251865000</v>
      </c>
      <c r="H9" s="313"/>
      <c r="I9" s="314">
        <f>($G9/$G$29)/$F9</f>
        <v>0.2124737850929668</v>
      </c>
      <c r="J9" s="314">
        <f>($G9/$G$29)/$F9</f>
        <v>0.2124737850929668</v>
      </c>
      <c r="K9" s="314">
        <f>($G9/$G$29)/$F9</f>
        <v>0.2124737850929668</v>
      </c>
      <c r="L9" s="315"/>
      <c r="M9" s="315"/>
      <c r="N9" s="315"/>
      <c r="O9" s="316"/>
    </row>
    <row r="10" spans="1:15" ht="53.1" customHeight="1" x14ac:dyDescent="0.25">
      <c r="A10" s="301"/>
      <c r="B10" s="368" t="str">
        <f>+[46]PTO!C9</f>
        <v>LLENO CON MATERIAL SELECCIONADO, compactado mecánicamente hasta obtener una densidad optima. Incluye transporte del material. Su medida será en sitio ya compactado.</v>
      </c>
      <c r="C10" s="369" t="s">
        <v>256</v>
      </c>
      <c r="D10" s="369" t="s">
        <v>256</v>
      </c>
      <c r="E10" s="370" t="s">
        <v>256</v>
      </c>
      <c r="F10" s="302">
        <v>2</v>
      </c>
      <c r="G10" s="303">
        <f>+[46]PTO!G9</f>
        <v>15802733</v>
      </c>
      <c r="H10" s="313"/>
      <c r="I10" s="317"/>
      <c r="J10" s="314">
        <f>($G10/$G$29)/$F10</f>
        <v>1.9996822674787293E-2</v>
      </c>
      <c r="K10" s="314">
        <f>($G10/$G$29)/$F10</f>
        <v>1.9996822674787293E-2</v>
      </c>
      <c r="L10" s="315"/>
      <c r="M10" s="315"/>
      <c r="N10" s="315"/>
      <c r="O10" s="316"/>
    </row>
    <row r="11" spans="1:15" ht="24.4" customHeight="1" x14ac:dyDescent="0.25">
      <c r="A11" s="318">
        <v>3</v>
      </c>
      <c r="B11" s="365" t="str">
        <f>+[46]PTO!C10</f>
        <v xml:space="preserve">CONSTRUCCION DE FILTROS HORIZONTALES </v>
      </c>
      <c r="C11" s="366" t="s">
        <v>257</v>
      </c>
      <c r="D11" s="366" t="s">
        <v>257</v>
      </c>
      <c r="E11" s="367" t="s">
        <v>257</v>
      </c>
      <c r="F11" s="319">
        <v>2</v>
      </c>
      <c r="G11" s="320">
        <f>SUM(G12:G14)</f>
        <v>7805705</v>
      </c>
      <c r="H11" s="321"/>
      <c r="I11" s="321"/>
      <c r="J11" s="322"/>
      <c r="K11" s="322">
        <f t="shared" ref="K11:M11" si="0">SUM(K12:K14)</f>
        <v>1.3744159919298481E-3</v>
      </c>
      <c r="L11" s="322">
        <f t="shared" si="0"/>
        <v>9.87736100690308E-3</v>
      </c>
      <c r="M11" s="322">
        <f t="shared" si="0"/>
        <v>8.5029450149732323E-3</v>
      </c>
      <c r="N11" s="323"/>
      <c r="O11" s="324"/>
    </row>
    <row r="12" spans="1:15" ht="33.950000000000003" customHeight="1" x14ac:dyDescent="0.25">
      <c r="A12" s="301"/>
      <c r="B12" s="368" t="str">
        <f>+[46]PTO!C11</f>
        <v xml:space="preserve">Construccion de filtros horizontales para el manejo y control de lixiviados </v>
      </c>
      <c r="C12" s="369" t="s">
        <v>258</v>
      </c>
      <c r="D12" s="369" t="s">
        <v>258</v>
      </c>
      <c r="E12" s="370" t="s">
        <v>258</v>
      </c>
      <c r="F12" s="302">
        <v>2</v>
      </c>
      <c r="G12" s="325">
        <f>+[46]PTO!G11</f>
        <v>3448368</v>
      </c>
      <c r="H12" s="326"/>
      <c r="I12" s="326"/>
      <c r="J12" s="317"/>
      <c r="K12" s="317"/>
      <c r="L12" s="327">
        <f t="shared" ref="L12:M12" si="1">($G12/$G$29)/$F12</f>
        <v>4.3635745420371845E-3</v>
      </c>
      <c r="M12" s="327">
        <f t="shared" si="1"/>
        <v>4.3635745420371845E-3</v>
      </c>
      <c r="N12" s="315"/>
      <c r="O12" s="316"/>
    </row>
    <row r="13" spans="1:15" ht="19.149999999999999" customHeight="1" x14ac:dyDescent="0.25">
      <c r="A13" s="301"/>
      <c r="B13" s="368" t="str">
        <f>+[46]PTO!C12</f>
        <v>Excavación en material común para zanjas y filtros de 0 a 2.00 mts.</v>
      </c>
      <c r="C13" s="369" t="s">
        <v>258</v>
      </c>
      <c r="D13" s="369" t="s">
        <v>258</v>
      </c>
      <c r="E13" s="370" t="s">
        <v>258</v>
      </c>
      <c r="F13" s="302">
        <v>2</v>
      </c>
      <c r="G13" s="325">
        <f>+[46]PTO!G12</f>
        <v>1086149</v>
      </c>
      <c r="H13" s="326"/>
      <c r="I13" s="326"/>
      <c r="J13" s="317"/>
      <c r="K13" s="327">
        <f t="shared" ref="K13:M14" si="2">($G13/$G$29)/$F13</f>
        <v>1.3744159919298481E-3</v>
      </c>
      <c r="L13" s="327">
        <f t="shared" si="2"/>
        <v>1.3744159919298481E-3</v>
      </c>
      <c r="M13" s="317"/>
      <c r="N13" s="315"/>
      <c r="O13" s="328"/>
    </row>
    <row r="14" spans="1:15" ht="36.75" customHeight="1" x14ac:dyDescent="0.25">
      <c r="A14" s="301"/>
      <c r="B14" s="368" t="str">
        <f>+[46]PTO!C13</f>
        <v>Suministro, transporte y colocación de material friltrante (gravilla seleccionada de 4 a 6")</v>
      </c>
      <c r="C14" s="369" t="s">
        <v>258</v>
      </c>
      <c r="D14" s="369" t="s">
        <v>258</v>
      </c>
      <c r="E14" s="370" t="s">
        <v>258</v>
      </c>
      <c r="F14" s="302">
        <v>2</v>
      </c>
      <c r="G14" s="325">
        <f>+[46]PTO!G13</f>
        <v>3271188</v>
      </c>
      <c r="H14" s="326"/>
      <c r="I14" s="326"/>
      <c r="J14" s="317"/>
      <c r="K14" s="317"/>
      <c r="L14" s="327">
        <f t="shared" si="2"/>
        <v>4.1393704729360478E-3</v>
      </c>
      <c r="M14" s="327">
        <f t="shared" si="2"/>
        <v>4.1393704729360478E-3</v>
      </c>
      <c r="N14" s="315"/>
      <c r="O14" s="329"/>
    </row>
    <row r="15" spans="1:15" ht="26.45" customHeight="1" x14ac:dyDescent="0.25">
      <c r="A15" s="330">
        <v>4</v>
      </c>
      <c r="B15" s="371" t="str">
        <f>+[46]PTO!C14</f>
        <v xml:space="preserve">CONSTRUCCION DE FILTROS VERTICALES </v>
      </c>
      <c r="C15" s="371"/>
      <c r="D15" s="371"/>
      <c r="E15" s="371"/>
      <c r="F15" s="331">
        <v>2</v>
      </c>
      <c r="G15" s="332">
        <f>SUM(G16)</f>
        <v>2768796</v>
      </c>
      <c r="H15" s="333"/>
      <c r="I15" s="333"/>
      <c r="J15" s="333"/>
      <c r="K15" s="333"/>
      <c r="L15" s="333"/>
      <c r="M15" s="333">
        <f t="shared" ref="M15:N15" si="3">SUM(M16)</f>
        <v>3.5036422266110779E-3</v>
      </c>
      <c r="N15" s="333">
        <f t="shared" si="3"/>
        <v>3.5036422266110779E-3</v>
      </c>
      <c r="O15" s="334"/>
    </row>
    <row r="16" spans="1:15" ht="65.25" customHeight="1" x14ac:dyDescent="0.25">
      <c r="A16" s="301"/>
      <c r="B16" s="368" t="str">
        <f>+[46]PTO!C15</f>
        <v>Construcción de filtros verticales (chimeneas para el control y evacuación de gases 0.40*0.40*3.00). Incluye canastillas, material friltrante y tuberia de 4" y demas elementos para su instalacion y puesta en funcionamiento</v>
      </c>
      <c r="C16" s="369"/>
      <c r="D16" s="369"/>
      <c r="E16" s="370"/>
      <c r="F16" s="302">
        <v>2</v>
      </c>
      <c r="G16" s="325">
        <f>+[46]PTO!G15</f>
        <v>2768796</v>
      </c>
      <c r="H16" s="326"/>
      <c r="I16" s="326"/>
      <c r="J16" s="317"/>
      <c r="K16" s="317"/>
      <c r="L16" s="317"/>
      <c r="M16" s="335">
        <f t="shared" ref="M16:N16" si="4">($G16/$G$29)/$F16</f>
        <v>3.5036422266110779E-3</v>
      </c>
      <c r="N16" s="335">
        <f t="shared" si="4"/>
        <v>3.5036422266110779E-3</v>
      </c>
      <c r="O16" s="316"/>
    </row>
    <row r="17" spans="1:15" ht="30.75" customHeight="1" x14ac:dyDescent="0.25">
      <c r="A17" s="336">
        <v>5</v>
      </c>
      <c r="B17" s="364" t="str">
        <f>+[46]PTO!C16</f>
        <v xml:space="preserve">OBRAS ADICIONALES </v>
      </c>
      <c r="C17" s="364"/>
      <c r="D17" s="364"/>
      <c r="E17" s="364"/>
      <c r="F17" s="337">
        <v>2</v>
      </c>
      <c r="G17" s="338">
        <f>SUM(G18:G26)</f>
        <v>76436015</v>
      </c>
      <c r="H17" s="339"/>
      <c r="I17" s="340"/>
      <c r="J17" s="340"/>
      <c r="K17" s="340">
        <f>SUM(K18:K26)</f>
        <v>3.9588632935188514E-4</v>
      </c>
      <c r="L17" s="340">
        <f>SUM(L18:L26)</f>
        <v>8.5334627344365588E-2</v>
      </c>
      <c r="M17" s="340">
        <f t="shared" ref="M17:O17" si="5">SUM(M18:M26)</f>
        <v>8.5913860417030488E-2</v>
      </c>
      <c r="N17" s="340">
        <f t="shared" si="5"/>
        <v>3.735195755207301E-3</v>
      </c>
      <c r="O17" s="340">
        <f t="shared" si="5"/>
        <v>1.8065125818064565E-2</v>
      </c>
    </row>
    <row r="18" spans="1:15" ht="36.75" customHeight="1" x14ac:dyDescent="0.25">
      <c r="A18" s="297"/>
      <c r="B18" s="360" t="str">
        <f>+[46]PTO!C17</f>
        <v>Suministro e instalación de la geomembrana Textil HR - 30.000 Espesor 0,75 ml para la impermeabilización</v>
      </c>
      <c r="C18" s="361"/>
      <c r="D18" s="361"/>
      <c r="E18" s="362"/>
      <c r="F18" s="302">
        <v>2</v>
      </c>
      <c r="G18" s="325">
        <f>+[46]PTO!G17</f>
        <v>55475136</v>
      </c>
      <c r="H18" s="341"/>
      <c r="I18" s="341"/>
      <c r="J18" s="341"/>
      <c r="K18" s="341"/>
      <c r="L18" s="339">
        <f t="shared" ref="K18:O23" si="6">($G18/$G$29)/$F18</f>
        <v>7.0198392736984722E-2</v>
      </c>
      <c r="M18" s="339">
        <f t="shared" si="6"/>
        <v>7.0198392736984722E-2</v>
      </c>
      <c r="N18" s="342"/>
      <c r="O18" s="328"/>
    </row>
    <row r="19" spans="1:15" ht="33.950000000000003" customHeight="1" x14ac:dyDescent="0.25">
      <c r="A19" s="297"/>
      <c r="B19" s="360" t="str">
        <f>+[46]PTO!C18</f>
        <v>Excavación de cunetas para tuberías de lixiviados y pozo de recirculación de lixiviados</v>
      </c>
      <c r="C19" s="361"/>
      <c r="D19" s="361"/>
      <c r="E19" s="362"/>
      <c r="F19" s="302">
        <v>2</v>
      </c>
      <c r="G19" s="325">
        <f>+[46]PTO!G18</f>
        <v>312854</v>
      </c>
      <c r="H19" s="341"/>
      <c r="I19" s="341"/>
      <c r="J19" s="341"/>
      <c r="K19" s="339">
        <f t="shared" si="6"/>
        <v>3.9588632935188514E-4</v>
      </c>
      <c r="L19" s="339">
        <f t="shared" si="6"/>
        <v>3.9588632935188514E-4</v>
      </c>
      <c r="M19" s="342"/>
      <c r="N19" s="342"/>
      <c r="O19" s="328"/>
    </row>
    <row r="20" spans="1:15" ht="37.35" customHeight="1" x14ac:dyDescent="0.25">
      <c r="A20" s="297"/>
      <c r="B20" s="360" t="str">
        <f>+[46]PTO!C19</f>
        <v xml:space="preserve">Suministro e instalación de tubería sanitaria de 4" para recolección de lixiviados. </v>
      </c>
      <c r="C20" s="361"/>
      <c r="D20" s="361"/>
      <c r="E20" s="362"/>
      <c r="F20" s="302">
        <v>1</v>
      </c>
      <c r="G20" s="325">
        <f>+[46]PTO!G19</f>
        <v>385300</v>
      </c>
      <c r="H20" s="341"/>
      <c r="I20" s="341"/>
      <c r="J20" s="341"/>
      <c r="K20" s="342"/>
      <c r="L20" s="342"/>
      <c r="M20" s="339">
        <f t="shared" si="6"/>
        <v>9.7511940201679592E-4</v>
      </c>
      <c r="N20" s="342"/>
      <c r="O20" s="328"/>
    </row>
    <row r="21" spans="1:15" ht="19.149999999999999" customHeight="1" x14ac:dyDescent="0.25">
      <c r="A21" s="297"/>
      <c r="B21" s="360" t="str">
        <f>+[46]PTO!C20</f>
        <v xml:space="preserve">Construcción de cuarto de máquinas. </v>
      </c>
      <c r="C21" s="361"/>
      <c r="D21" s="361"/>
      <c r="E21" s="362"/>
      <c r="F21" s="302">
        <v>1</v>
      </c>
      <c r="G21" s="325">
        <f>+[46]PTO!G20</f>
        <v>1475892</v>
      </c>
      <c r="H21" s="341"/>
      <c r="I21" s="341"/>
      <c r="J21" s="341"/>
      <c r="K21" s="342"/>
      <c r="L21" s="342"/>
      <c r="M21" s="342"/>
      <c r="N21" s="339">
        <f t="shared" si="6"/>
        <v>3.735195755207301E-3</v>
      </c>
      <c r="O21" s="328"/>
    </row>
    <row r="22" spans="1:15" ht="35.450000000000003" customHeight="1" x14ac:dyDescent="0.25">
      <c r="A22" s="297"/>
      <c r="B22" s="360" t="str">
        <f>+[46]PTO!C21</f>
        <v>Suministro e instalación de moto bomba de 2x2 autocebante para la evacuación de tanques de los lixiviados</v>
      </c>
      <c r="C22" s="361"/>
      <c r="D22" s="361"/>
      <c r="E22" s="362"/>
      <c r="F22" s="302">
        <v>1</v>
      </c>
      <c r="G22" s="325">
        <f>+[46]PTO!G21</f>
        <v>4210402</v>
      </c>
      <c r="H22" s="341"/>
      <c r="I22" s="341"/>
      <c r="J22" s="341"/>
      <c r="K22" s="342"/>
      <c r="L22" s="342"/>
      <c r="M22" s="342"/>
      <c r="N22" s="341"/>
      <c r="O22" s="339">
        <f t="shared" si="6"/>
        <v>1.0655709007241946E-2</v>
      </c>
    </row>
    <row r="23" spans="1:15" ht="36.75" customHeight="1" x14ac:dyDescent="0.25">
      <c r="A23" s="297"/>
      <c r="B23" s="360" t="str">
        <f>+[46]PTO!C22</f>
        <v xml:space="preserve">Suministro e instalación de Manguera de 2" Descarga Plana 2 Tipo Bombero. </v>
      </c>
      <c r="C23" s="361"/>
      <c r="D23" s="361"/>
      <c r="E23" s="362"/>
      <c r="F23" s="302">
        <v>1</v>
      </c>
      <c r="G23" s="325">
        <f>+[46]PTO!G22</f>
        <v>1600690</v>
      </c>
      <c r="H23" s="341"/>
      <c r="I23" s="341"/>
      <c r="J23" s="341"/>
      <c r="K23" s="342"/>
      <c r="L23" s="342"/>
      <c r="M23" s="342"/>
      <c r="N23" s="342"/>
      <c r="O23" s="339">
        <f t="shared" si="6"/>
        <v>4.0510352338807816E-3</v>
      </c>
    </row>
    <row r="24" spans="1:15" ht="53.1" customHeight="1" x14ac:dyDescent="0.25">
      <c r="A24" s="297"/>
      <c r="B24" s="360" t="str">
        <f>+[46]PTO!C23</f>
        <v xml:space="preserve">Construccion de Caja de inspeccion de 1,0x1,0x1,0 m, en concreto de 21 MPa, Incluye excavacion, formaleta, acero, suministro, transporte e instalación del concreto, mano de obra, vibrado, curado y protección. </v>
      </c>
      <c r="C24" s="361"/>
      <c r="D24" s="361"/>
      <c r="E24" s="362"/>
      <c r="F24" s="302">
        <v>2</v>
      </c>
      <c r="G24" s="325">
        <f>+[46]PTO!G23</f>
        <v>1986664</v>
      </c>
      <c r="H24" s="341"/>
      <c r="I24" s="341"/>
      <c r="J24" s="341"/>
      <c r="K24" s="342"/>
      <c r="L24" s="339">
        <f t="shared" ref="L24:O26" si="7">($G24/$G$29)/$F24</f>
        <v>2.5139301994397817E-3</v>
      </c>
      <c r="M24" s="339">
        <f t="shared" si="7"/>
        <v>2.5139301994397817E-3</v>
      </c>
      <c r="N24" s="342"/>
      <c r="O24" s="328"/>
    </row>
    <row r="25" spans="1:15" ht="53.1" customHeight="1" x14ac:dyDescent="0.25">
      <c r="A25" s="297"/>
      <c r="B25" s="360" t="str">
        <f>+[46]PTO!C24</f>
        <v xml:space="preserve">Construccion de tanque de recoleccion y almacenamiento de lixiviados de 2.0x3.0x3.0 m, en concreto de 21 Mpa,  Incluye excavacion, formaleta, acero, suministro, transporte e instalación del concreto, mano de obra, vibrado, curado y protección.  </v>
      </c>
      <c r="C25" s="361"/>
      <c r="D25" s="361"/>
      <c r="E25" s="362"/>
      <c r="F25" s="302">
        <v>2</v>
      </c>
      <c r="G25" s="325">
        <f>+[46]PTO!G24</f>
        <v>9662076</v>
      </c>
      <c r="H25" s="341"/>
      <c r="I25" s="341"/>
      <c r="J25" s="341"/>
      <c r="K25" s="342"/>
      <c r="L25" s="339">
        <f t="shared" si="7"/>
        <v>1.2226418078589197E-2</v>
      </c>
      <c r="M25" s="339">
        <f t="shared" si="7"/>
        <v>1.2226418078589197E-2</v>
      </c>
      <c r="N25" s="342"/>
      <c r="O25" s="328"/>
    </row>
    <row r="26" spans="1:15" ht="19.149999999999999" customHeight="1" x14ac:dyDescent="0.25">
      <c r="A26" s="297"/>
      <c r="B26" s="360" t="str">
        <f>+[46]PTO!C25</f>
        <v xml:space="preserve">Suministro e instalacion de valla informativa </v>
      </c>
      <c r="C26" s="361"/>
      <c r="D26" s="361"/>
      <c r="E26" s="362"/>
      <c r="F26" s="302">
        <v>1</v>
      </c>
      <c r="G26" s="325">
        <f>+[46]PTO!G25</f>
        <v>1327001</v>
      </c>
      <c r="H26" s="341"/>
      <c r="I26" s="341"/>
      <c r="J26" s="341"/>
      <c r="K26" s="342"/>
      <c r="L26" s="342"/>
      <c r="M26" s="342"/>
      <c r="N26" s="342"/>
      <c r="O26" s="339">
        <f t="shared" si="7"/>
        <v>3.3583815769418382E-3</v>
      </c>
    </row>
    <row r="27" spans="1:15" ht="30.75" customHeight="1" x14ac:dyDescent="0.25">
      <c r="A27" s="343">
        <v>6</v>
      </c>
      <c r="B27" s="363" t="str">
        <f>+[46]PTO!C26</f>
        <v>CERRAMIENTO PIREMETRAL</v>
      </c>
      <c r="C27" s="363"/>
      <c r="D27" s="363"/>
      <c r="E27" s="363"/>
      <c r="F27" s="344">
        <v>1</v>
      </c>
      <c r="G27" s="345">
        <f>SUM(G28:G28)</f>
        <v>1280985</v>
      </c>
      <c r="H27" s="346"/>
      <c r="I27" s="347"/>
      <c r="J27" s="347"/>
      <c r="K27" s="347"/>
      <c r="L27" s="347"/>
      <c r="M27" s="347"/>
      <c r="N27" s="347">
        <f t="shared" ref="N27" si="8">SUM(N28:N28)</f>
        <v>1.6209620129671494E-3</v>
      </c>
      <c r="O27" s="348">
        <f>SUM(O28:O28)</f>
        <v>1.6209620129671494E-3</v>
      </c>
    </row>
    <row r="28" spans="1:15" ht="23.1" customHeight="1" x14ac:dyDescent="0.25">
      <c r="A28" s="297"/>
      <c r="B28" s="360" t="str">
        <f>+[46]PTO!C27</f>
        <v xml:space="preserve">Construcción de cerramiento en alambre de puas </v>
      </c>
      <c r="C28" s="361"/>
      <c r="D28" s="361"/>
      <c r="E28" s="362"/>
      <c r="F28" s="302">
        <v>2</v>
      </c>
      <c r="G28" s="325">
        <f>+[46]PTO!G27</f>
        <v>1280985</v>
      </c>
      <c r="H28" s="341"/>
      <c r="I28" s="341"/>
      <c r="J28" s="341"/>
      <c r="K28" s="342"/>
      <c r="L28" s="342"/>
      <c r="M28" s="342"/>
      <c r="N28" s="346">
        <f t="shared" ref="N28:O28" si="9">($G28/$G$29)/$F28</f>
        <v>1.6209620129671494E-3</v>
      </c>
      <c r="O28" s="346">
        <f t="shared" si="9"/>
        <v>1.6209620129671494E-3</v>
      </c>
    </row>
    <row r="29" spans="1:15" ht="34.5" customHeight="1" thickBot="1" x14ac:dyDescent="0.3">
      <c r="A29" s="349"/>
      <c r="B29" s="507" t="s">
        <v>259</v>
      </c>
      <c r="C29" s="507"/>
      <c r="D29" s="507"/>
      <c r="E29" s="507"/>
      <c r="F29" s="302">
        <v>8</v>
      </c>
      <c r="G29" s="350">
        <f>SUM(G17,G15,G11,G8,G5,G27)</f>
        <v>395131098</v>
      </c>
      <c r="H29" s="350">
        <f>SUM(H17,H15,H11,H8,H5,H27)*$G$29</f>
        <v>18705288</v>
      </c>
      <c r="I29" s="350">
        <f t="shared" ref="I29:O29" si="10">SUM(I17,I15,I11,I8,I5,I27)*$G$29</f>
        <v>94188288</v>
      </c>
      <c r="J29" s="350">
        <f t="shared" si="10"/>
        <v>102089654.5</v>
      </c>
      <c r="K29" s="350">
        <f t="shared" si="10"/>
        <v>92555868</v>
      </c>
      <c r="L29" s="350">
        <f t="shared" si="10"/>
        <v>37621217.5</v>
      </c>
      <c r="M29" s="350">
        <f t="shared" si="10"/>
        <v>38691413.999999993</v>
      </c>
      <c r="N29" s="350">
        <f t="shared" si="10"/>
        <v>3500782.5</v>
      </c>
      <c r="O29" s="350">
        <f t="shared" si="10"/>
        <v>7778585.4999999991</v>
      </c>
    </row>
    <row r="30" spans="1:15" ht="25.5" customHeight="1" thickBot="1" x14ac:dyDescent="0.3">
      <c r="A30" s="505"/>
      <c r="B30" s="508" t="s">
        <v>260</v>
      </c>
      <c r="C30" s="509"/>
      <c r="D30" s="509"/>
      <c r="E30" s="510"/>
      <c r="F30" s="506">
        <v>2</v>
      </c>
      <c r="G30" s="501">
        <f>+H30+L30</f>
        <v>395131098</v>
      </c>
      <c r="H30" s="502">
        <f>SUM(H29:K29)</f>
        <v>307539098.5</v>
      </c>
      <c r="I30" s="503"/>
      <c r="J30" s="503"/>
      <c r="K30" s="504"/>
      <c r="L30" s="502">
        <f>SUM(L29:O29)</f>
        <v>87591999.5</v>
      </c>
      <c r="M30" s="503"/>
      <c r="N30" s="503"/>
      <c r="O30" s="504"/>
    </row>
    <row r="31" spans="1:15" ht="21.2" customHeight="1" x14ac:dyDescent="0.25">
      <c r="G31" s="351"/>
    </row>
    <row r="32" spans="1:15" x14ac:dyDescent="0.25">
      <c r="G32" s="352"/>
    </row>
  </sheetData>
  <mergeCells count="36">
    <mergeCell ref="B10:E10"/>
    <mergeCell ref="A1:B2"/>
    <mergeCell ref="C1:O2"/>
    <mergeCell ref="A3:A4"/>
    <mergeCell ref="B3:E4"/>
    <mergeCell ref="F3:F4"/>
    <mergeCell ref="G3:G4"/>
    <mergeCell ref="H3:K3"/>
    <mergeCell ref="L3:O3"/>
    <mergeCell ref="B5:E5"/>
    <mergeCell ref="B6:E6"/>
    <mergeCell ref="B7:E7"/>
    <mergeCell ref="B8:E8"/>
    <mergeCell ref="B9:E9"/>
    <mergeCell ref="B22:E22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9:E29"/>
    <mergeCell ref="B30:E30"/>
    <mergeCell ref="H30:K30"/>
    <mergeCell ref="L30:O30"/>
    <mergeCell ref="B23:E23"/>
    <mergeCell ref="B24:E24"/>
    <mergeCell ref="B25:E25"/>
    <mergeCell ref="B26:E26"/>
    <mergeCell ref="B27:E27"/>
    <mergeCell ref="B28:E28"/>
  </mergeCells>
  <pageMargins left="0.23622047244094491" right="0.23622047244094491" top="0.74803149606299213" bottom="0.74803149606299213" header="0.31496062992125984" footer="0.31496062992125984"/>
  <pageSetup paperSize="5" scale="29" fitToWidth="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6</vt:i4>
      </vt:variant>
    </vt:vector>
  </HeadingPairs>
  <TitlesOfParts>
    <vt:vector size="11" baseType="lpstr">
      <vt:lpstr>PTO</vt:lpstr>
      <vt:lpstr>CANT</vt:lpstr>
      <vt:lpstr>APU</vt:lpstr>
      <vt:lpstr>AIU </vt:lpstr>
      <vt:lpstr>CRONOGRAMA</vt:lpstr>
      <vt:lpstr>'AIU '!Área_de_impresión</vt:lpstr>
      <vt:lpstr>APU!Área_de_impresión</vt:lpstr>
      <vt:lpstr>PTO!Área_de_impresión</vt:lpstr>
      <vt:lpstr>CANT!Print_Area</vt:lpstr>
      <vt:lpstr>CANT!Print_Titles</vt:lpstr>
      <vt:lpstr>PTO!Títulos_a_imprimir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Json</dc:creator>
  <cp:lastModifiedBy>sistema de seguridad microsotf</cp:lastModifiedBy>
  <dcterms:created xsi:type="dcterms:W3CDTF">2025-09-23T18:37:57Z</dcterms:created>
  <dcterms:modified xsi:type="dcterms:W3CDTF">2025-09-24T10:14:19Z</dcterms:modified>
</cp:coreProperties>
</file>